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5cd8da1efbf0e8e5/Documents/Asesores Financieros Comunitarios/2026/Plan de Negocios para PyMEs ^0 OSFL/"/>
    </mc:Choice>
  </mc:AlternateContent>
  <xr:revisionPtr revIDLastSave="0" documentId="8_{5F1ED40E-A5F7-447E-8B5F-59FB7CEA65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 Inicio" sheetId="1" r:id="rId1"/>
    <sheet name="1 Mi Ficha" sheetId="2" r:id="rId2"/>
    <sheet name="2 Canvas" sheetId="3" r:id="rId3"/>
    <sheet name="3 Propuesta y Filtro" sheetId="4" r:id="rId4"/>
    <sheet name="4 Validación" sheetId="5" r:id="rId5"/>
    <sheet name="5 Realidad PR" sheetId="6" r:id="rId6"/>
    <sheet name="6 Números" sheetId="7" r:id="rId7"/>
    <sheet name="7 Flujo de Caja" sheetId="8" r:id="rId8"/>
    <sheet name="8 Mapa de Decisiones" sheetId="9" r:id="rId9"/>
    <sheet name="9 Plan 90 Días" sheetId="10" r:id="rId10"/>
    <sheet name="10 Plan en 1 Página" sheetId="11" r:id="rId11"/>
    <sheet name="11 Resumen Ejecutivo" sheetId="12" r:id="rId12"/>
    <sheet name="12 Guía del Plan Formal" sheetId="13" r:id="rId13"/>
  </sheets>
  <definedNames>
    <definedName name="_xlnm.Print_Area" localSheetId="0">'0 Inicio'!$B$2:$G$31</definedName>
    <definedName name="_xlnm.Print_Area" localSheetId="10">'10 Plan en 1 Página'!$B$2:$E$33</definedName>
    <definedName name="_xlnm.Print_Area" localSheetId="11">'11 Resumen Ejecutivo'!$B$2:$F$46</definedName>
    <definedName name="_xlnm.Print_Area" localSheetId="12">'12 Guía del Plan Formal'!$B$2:$E$95</definedName>
    <definedName name="_xlnm.Print_Area" localSheetId="2">'2 Canvas'!$B$2:$K$49</definedName>
    <definedName name="_xlnm.Print_Area" localSheetId="3">'3 Propuesta y Filtro'!$B$2:$G$40</definedName>
    <definedName name="_xlnm.Print_Area" localSheetId="4">'4 Validación'!$B$2:$H$39</definedName>
    <definedName name="_xlnm.Print_Area" localSheetId="5">'5 Realidad PR'!$B$2:$H$32</definedName>
    <definedName name="_xlnm.Print_Area" localSheetId="6">'6 Números'!$B$2:$F$84</definedName>
    <definedName name="_xlnm.Print_Area" localSheetId="7">'7 Flujo de Caja'!$B$2:$O$32</definedName>
    <definedName name="_xlnm.Print_Area" localSheetId="8">'8 Mapa de Decisiones'!$B$2:$F$17</definedName>
    <definedName name="_xlnm.Print_Area" localSheetId="9">'9 Plan 90 Días'!$B$2:$J$35</definedName>
    <definedName name="Tipo">'1 Mi Ficha'!$C$7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1" i="13" l="1"/>
  <c r="B90" i="13"/>
  <c r="B89" i="13"/>
  <c r="B88" i="13"/>
  <c r="B87" i="13"/>
  <c r="B86" i="13"/>
  <c r="C84" i="13"/>
  <c r="B80" i="13"/>
  <c r="B79" i="13"/>
  <c r="B78" i="13"/>
  <c r="B77" i="13"/>
  <c r="B76" i="13"/>
  <c r="B75" i="13"/>
  <c r="C73" i="13"/>
  <c r="B73" i="13"/>
  <c r="B69" i="13"/>
  <c r="B68" i="13"/>
  <c r="B67" i="13"/>
  <c r="B66" i="13"/>
  <c r="B65" i="13"/>
  <c r="B64" i="13"/>
  <c r="C62" i="13"/>
  <c r="B62" i="13"/>
  <c r="B58" i="13"/>
  <c r="B57" i="13"/>
  <c r="B56" i="13"/>
  <c r="B55" i="13"/>
  <c r="B54" i="13"/>
  <c r="B53" i="13"/>
  <c r="C51" i="13"/>
  <c r="B51" i="13"/>
  <c r="B47" i="13"/>
  <c r="B46" i="13"/>
  <c r="B45" i="13"/>
  <c r="B44" i="13"/>
  <c r="B43" i="13"/>
  <c r="B42" i="13"/>
  <c r="C40" i="13"/>
  <c r="B40" i="13"/>
  <c r="B36" i="13"/>
  <c r="B35" i="13"/>
  <c r="B34" i="13"/>
  <c r="B33" i="13"/>
  <c r="B32" i="13"/>
  <c r="B31" i="13"/>
  <c r="C29" i="13"/>
  <c r="B29" i="13"/>
  <c r="B25" i="13"/>
  <c r="B24" i="13"/>
  <c r="B23" i="13"/>
  <c r="B22" i="13"/>
  <c r="B21" i="13"/>
  <c r="C18" i="13"/>
  <c r="B18" i="13"/>
  <c r="B14" i="13"/>
  <c r="B13" i="13"/>
  <c r="B12" i="13"/>
  <c r="B11" i="13"/>
  <c r="B9" i="13"/>
  <c r="C7" i="13"/>
  <c r="B7" i="13"/>
  <c r="C44" i="12"/>
  <c r="B43" i="12"/>
  <c r="B42" i="12"/>
  <c r="B41" i="12"/>
  <c r="B40" i="12"/>
  <c r="B39" i="12"/>
  <c r="B38" i="12"/>
  <c r="B37" i="12"/>
  <c r="B36" i="12"/>
  <c r="C32" i="12"/>
  <c r="C20" i="12"/>
  <c r="C19" i="12"/>
  <c r="C17" i="12"/>
  <c r="C16" i="12"/>
  <c r="C15" i="12"/>
  <c r="C14" i="12"/>
  <c r="C13" i="12"/>
  <c r="B10" i="12"/>
  <c r="D7" i="12"/>
  <c r="C31" i="11"/>
  <c r="E30" i="11"/>
  <c r="C30" i="11"/>
  <c r="C29" i="11"/>
  <c r="C28" i="11"/>
  <c r="E26" i="11"/>
  <c r="C26" i="11"/>
  <c r="C25" i="11"/>
  <c r="E24" i="11"/>
  <c r="C24" i="11"/>
  <c r="E19" i="11"/>
  <c r="E18" i="11"/>
  <c r="C18" i="11"/>
  <c r="C17" i="11"/>
  <c r="E14" i="11"/>
  <c r="D14" i="11"/>
  <c r="C14" i="11"/>
  <c r="E13" i="11"/>
  <c r="C13" i="11"/>
  <c r="B13" i="11"/>
  <c r="E12" i="11"/>
  <c r="C12" i="11"/>
  <c r="C11" i="11"/>
  <c r="C8" i="11"/>
  <c r="E7" i="11"/>
  <c r="C7" i="11"/>
  <c r="E6" i="11"/>
  <c r="C6" i="11"/>
  <c r="C31" i="10"/>
  <c r="C26" i="10"/>
  <c r="B12" i="10"/>
  <c r="I11" i="10"/>
  <c r="I10" i="10"/>
  <c r="I9" i="10"/>
  <c r="B7" i="10"/>
  <c r="E15" i="9"/>
  <c r="F15" i="9" s="1"/>
  <c r="E14" i="9"/>
  <c r="F14" i="9" s="1"/>
  <c r="E13" i="9"/>
  <c r="F13" i="9" s="1"/>
  <c r="E12" i="9"/>
  <c r="F12" i="9" s="1"/>
  <c r="E11" i="9"/>
  <c r="F11" i="9" s="1"/>
  <c r="E10" i="9"/>
  <c r="F10" i="9" s="1"/>
  <c r="E9" i="9"/>
  <c r="F9" i="9" s="1"/>
  <c r="E8" i="9"/>
  <c r="F8" i="9" s="1"/>
  <c r="I32" i="8"/>
  <c r="C32" i="8"/>
  <c r="N25" i="8"/>
  <c r="O30" i="8" s="1"/>
  <c r="E25" i="11" s="1"/>
  <c r="M25" i="8"/>
  <c r="L25" i="8"/>
  <c r="K25" i="8"/>
  <c r="J25" i="8"/>
  <c r="I25" i="8"/>
  <c r="H25" i="8"/>
  <c r="G25" i="8"/>
  <c r="F25" i="8"/>
  <c r="E25" i="8"/>
  <c r="D25" i="8"/>
  <c r="C25" i="8"/>
  <c r="O24" i="8"/>
  <c r="O23" i="8"/>
  <c r="O25" i="8" s="1"/>
  <c r="O22" i="8"/>
  <c r="O21" i="8"/>
  <c r="O20" i="8"/>
  <c r="O19" i="8"/>
  <c r="O18" i="8"/>
  <c r="O17" i="8"/>
  <c r="N15" i="8"/>
  <c r="M15" i="8"/>
  <c r="L15" i="8"/>
  <c r="K15" i="8"/>
  <c r="J15" i="8"/>
  <c r="I15" i="8"/>
  <c r="H15" i="8"/>
  <c r="G15" i="8"/>
  <c r="F15" i="8"/>
  <c r="E15" i="8"/>
  <c r="D15" i="8"/>
  <c r="C15" i="8"/>
  <c r="O14" i="8"/>
  <c r="O13" i="8"/>
  <c r="O12" i="8"/>
  <c r="O11" i="8"/>
  <c r="O10" i="8"/>
  <c r="O9" i="8"/>
  <c r="O15" i="8" s="1"/>
  <c r="O27" i="8" s="1"/>
  <c r="N7" i="8"/>
  <c r="M7" i="8"/>
  <c r="L7" i="8"/>
  <c r="K7" i="8"/>
  <c r="J7" i="8"/>
  <c r="I7" i="8"/>
  <c r="H7" i="8"/>
  <c r="G7" i="8"/>
  <c r="F7" i="8"/>
  <c r="E7" i="8"/>
  <c r="D7" i="8"/>
  <c r="C7" i="8"/>
  <c r="E79" i="7"/>
  <c r="D79" i="7"/>
  <c r="C79" i="7"/>
  <c r="C65" i="7"/>
  <c r="D61" i="7"/>
  <c r="C58" i="7"/>
  <c r="C51" i="7"/>
  <c r="C50" i="7"/>
  <c r="D47" i="7"/>
  <c r="C44" i="7"/>
  <c r="C35" i="7"/>
  <c r="C9" i="7"/>
  <c r="C24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B35" i="5"/>
  <c r="C32" i="5"/>
  <c r="C19" i="11" s="1"/>
  <c r="H24" i="5"/>
  <c r="H23" i="5"/>
  <c r="H22" i="5"/>
  <c r="H21" i="5"/>
  <c r="H16" i="5"/>
  <c r="H15" i="5"/>
  <c r="H14" i="5"/>
  <c r="F11" i="5"/>
  <c r="F10" i="5"/>
  <c r="F9" i="5"/>
  <c r="F8" i="5"/>
  <c r="H7" i="5"/>
  <c r="F7" i="5"/>
  <c r="C28" i="4"/>
  <c r="G27" i="4"/>
  <c r="G26" i="4"/>
  <c r="G25" i="4"/>
  <c r="G24" i="4"/>
  <c r="G23" i="4"/>
  <c r="G21" i="4"/>
  <c r="G18" i="4"/>
  <c r="G17" i="4"/>
  <c r="G16" i="4"/>
  <c r="G15" i="4"/>
  <c r="C11" i="4"/>
  <c r="G10" i="4"/>
  <c r="G9" i="4"/>
  <c r="G8" i="4"/>
  <c r="G7" i="4"/>
  <c r="G6" i="4"/>
  <c r="D48" i="3"/>
  <c r="B48" i="3"/>
  <c r="D47" i="3"/>
  <c r="D46" i="3"/>
  <c r="B46" i="3"/>
  <c r="D45" i="3"/>
  <c r="D44" i="3"/>
  <c r="D43" i="3"/>
  <c r="B43" i="3"/>
  <c r="D42" i="3"/>
  <c r="B42" i="3"/>
  <c r="D41" i="3"/>
  <c r="D40" i="3"/>
  <c r="B40" i="3"/>
  <c r="D39" i="3"/>
  <c r="B39" i="3"/>
  <c r="B30" i="3"/>
  <c r="B29" i="3"/>
  <c r="G22" i="3"/>
  <c r="B22" i="3"/>
  <c r="G21" i="3"/>
  <c r="B21" i="3"/>
  <c r="H13" i="3"/>
  <c r="D13" i="3"/>
  <c r="H12" i="3"/>
  <c r="D12" i="3"/>
  <c r="J6" i="3"/>
  <c r="H6" i="3"/>
  <c r="F6" i="3"/>
  <c r="D6" i="3"/>
  <c r="B6" i="3"/>
  <c r="J5" i="3"/>
  <c r="H5" i="3"/>
  <c r="F5" i="3"/>
  <c r="D5" i="3"/>
  <c r="B5" i="3"/>
  <c r="F26" i="1"/>
  <c r="G26" i="1" s="1"/>
  <c r="F25" i="1"/>
  <c r="G25" i="1" s="1"/>
  <c r="F24" i="1"/>
  <c r="G24" i="1" s="1"/>
  <c r="F23" i="1"/>
  <c r="F22" i="1"/>
  <c r="G22" i="1" s="1"/>
  <c r="F21" i="1"/>
  <c r="G21" i="1" s="1"/>
  <c r="F20" i="1"/>
  <c r="G20" i="1" s="1"/>
  <c r="F19" i="1"/>
  <c r="G19" i="1" s="1"/>
  <c r="F18" i="1"/>
  <c r="G18" i="1" s="1"/>
  <c r="F17" i="1"/>
  <c r="G17" i="1" s="1"/>
  <c r="C5" i="13" l="1"/>
  <c r="F28" i="1"/>
  <c r="G28" i="1" s="1"/>
  <c r="N29" i="8"/>
  <c r="N27" i="8"/>
  <c r="M29" i="8"/>
  <c r="M27" i="8"/>
  <c r="L29" i="8"/>
  <c r="L27" i="8"/>
  <c r="K29" i="8"/>
  <c r="K27" i="8"/>
  <c r="J29" i="8"/>
  <c r="J27" i="8"/>
  <c r="I29" i="8"/>
  <c r="I27" i="8"/>
  <c r="H29" i="8"/>
  <c r="H27" i="8"/>
  <c r="G29" i="8"/>
  <c r="G27" i="8"/>
  <c r="F29" i="8"/>
  <c r="F27" i="8"/>
  <c r="E29" i="8"/>
  <c r="E27" i="8"/>
  <c r="D29" i="8"/>
  <c r="D27" i="8"/>
  <c r="C29" i="8"/>
  <c r="C27" i="8"/>
  <c r="C28" i="8" s="1"/>
  <c r="D28" i="8" s="1"/>
  <c r="E28" i="8" s="1"/>
  <c r="F28" i="8" s="1"/>
  <c r="G28" i="8" s="1"/>
  <c r="E81" i="7"/>
  <c r="E80" i="7"/>
  <c r="D81" i="7"/>
  <c r="D80" i="7"/>
  <c r="C81" i="7"/>
  <c r="C80" i="7"/>
  <c r="C70" i="7"/>
  <c r="D69" i="7"/>
  <c r="C69" i="7"/>
  <c r="D71" i="7"/>
  <c r="C72" i="7"/>
  <c r="D73" i="7"/>
  <c r="C73" i="7"/>
  <c r="D72" i="7"/>
  <c r="C71" i="7"/>
  <c r="D70" i="7"/>
  <c r="C52" i="7"/>
  <c r="C36" i="7"/>
  <c r="C37" i="7" s="1"/>
  <c r="G23" i="1"/>
  <c r="F27" i="1"/>
  <c r="G27" i="1" s="1"/>
  <c r="C53" i="7" l="1"/>
  <c r="C5" i="7"/>
  <c r="C22" i="11" s="1"/>
  <c r="C55" i="7"/>
  <c r="H28" i="8"/>
  <c r="I28" i="8" s="1"/>
  <c r="J28" i="8" s="1"/>
  <c r="K28" i="8" s="1"/>
  <c r="L28" i="8" s="1"/>
  <c r="M28" i="8" s="1"/>
  <c r="N28" i="8" s="1"/>
  <c r="C38" i="7"/>
  <c r="C39" i="7"/>
  <c r="C12" i="7" s="1"/>
  <c r="C22" i="7" s="1"/>
  <c r="C64" i="7" l="1"/>
  <c r="C67" i="7" s="1"/>
  <c r="C18" i="12"/>
  <c r="C23" i="11"/>
  <c r="E82" i="7"/>
  <c r="E83" i="7" s="1"/>
  <c r="D82" i="7"/>
  <c r="D83" i="7" s="1"/>
  <c r="E23" i="11" s="1"/>
  <c r="C82" i="7"/>
  <c r="C83" i="7" s="1"/>
  <c r="C57" i="7"/>
</calcChain>
</file>

<file path=xl/sharedStrings.xml><?xml version="1.0" encoding="utf-8"?>
<sst xmlns="http://schemas.openxmlformats.org/spreadsheetml/2006/main" count="554" uniqueCount="477">
  <si>
    <t>MI PLAN DE NEGOCIO</t>
  </si>
  <si>
    <t>Herramienta de planificación en cinco etapas</t>
  </si>
  <si>
    <t>Taller Planificación de Negocios para PyMES y OSFL · Naranjito, Puerto Rico</t>
  </si>
  <si>
    <t>Cinco etapas que llevan tu idea, o tu organización, del propósito al plan de acción: claridad, validación, realidad de Puerto Rico, números y ejecución.</t>
  </si>
  <si>
    <t>Cómo usarla</t>
  </si>
  <si>
    <t>Celda color crema con letra azul: escribe aquí.</t>
  </si>
  <si>
    <t>Celda gris: se calcula sola. Las hojas están protegidas para que no borres fórmulas por accidente (Revisar → Desproteger hoja, sin contraseña).</t>
  </si>
  <si>
    <t>Empieza en «1 Mi Ficha» y escoge PyME u OSFL. Los títulos y ejemplos se adaptan a tu selección. Al final, la pestaña «10» arma tu plan en una página; la «12» es la guía para redactar el plan formal después del taller.</t>
  </si>
  <si>
    <t>Tu ruta de trabajo</t>
  </si>
  <si>
    <t>#</t>
  </si>
  <si>
    <t>Etapa</t>
  </si>
  <si>
    <t>Pestaña</t>
  </si>
  <si>
    <t>Lo que sales con…</t>
  </si>
  <si>
    <t>Avance</t>
  </si>
  <si>
    <t>Estado</t>
  </si>
  <si>
    <t>0</t>
  </si>
  <si>
    <t>Punto de partida</t>
  </si>
  <si>
    <t>1 Mi Ficha</t>
  </si>
  <si>
    <t>Tu porqué y tus datos</t>
  </si>
  <si>
    <t>1</t>
  </si>
  <si>
    <t>Claridad estratégica</t>
  </si>
  <si>
    <t>2 Canvas</t>
  </si>
  <si>
    <t>Tu Business Model Canvas: el modelo en una página (Ejercicio 1)</t>
  </si>
  <si>
    <t>3 Propuesta y Filtro</t>
  </si>
  <si>
    <t>Propuesta de valor y filtro de estrategia (Ejercicio 2)</t>
  </si>
  <si>
    <t>2</t>
  </si>
  <si>
    <t>Validación</t>
  </si>
  <si>
    <t>4 Validación</t>
  </si>
  <si>
    <t>Tu experimento MVP y 3 preguntas (Ejercicio 3)</t>
  </si>
  <si>
    <t>3</t>
  </si>
  <si>
    <t>Realidad Puerto Rico</t>
  </si>
  <si>
    <t>5 Realidad PR</t>
  </si>
  <si>
    <t>Lista de cumplimiento y continuidad (Ejercicio 4)</t>
  </si>
  <si>
    <t>4</t>
  </si>
  <si>
    <t>Los números básicos</t>
  </si>
  <si>
    <t>6 Números</t>
  </si>
  <si>
    <t>Punto de equilibrio o costo por impacto (Ejercicio 5)</t>
  </si>
  <si>
    <t>7 Flujo de Caja</t>
  </si>
  <si>
    <t>Tu efectivo mes a mes</t>
  </si>
  <si>
    <t>8 Mapa de Decisiones</t>
  </si>
  <si>
    <t>Del FODA a las decisiones: qué crecer, mantener o cerrar</t>
  </si>
  <si>
    <t>5</t>
  </si>
  <si>
    <t>Ejecución 90 días</t>
  </si>
  <si>
    <t>9 Plan 90 Días</t>
  </si>
  <si>
    <t>OKR, tareas RACI y compromiso (Ejercicio 6)</t>
  </si>
  <si>
    <t>11 Resumen Ejecutivo</t>
  </si>
  <si>
    <t>Borrador del resumen ejecutivo y solicitud de fondos</t>
  </si>
  <si>
    <t>★</t>
  </si>
  <si>
    <t>Resultado</t>
  </si>
  <si>
    <t>10 Plan en 1 Página</t>
  </si>
  <si>
    <t>Tu plan de negocio preliminar</t>
  </si>
  <si>
    <t>+</t>
  </si>
  <si>
    <t>Después del taller</t>
  </si>
  <si>
    <t>12 Guía del Plan Formal</t>
  </si>
  <si>
    <t>Tu plan formal, sección por sección, en 12 semanas</t>
  </si>
  <si>
    <t>Basada en: Business Model Canvas y Social Business Model Canvas (Osterwalder &amp; Pigneur); Lean Startup y MVP (Ries); Filtro de estrategia (La Piana); Mapa de decisiones / Matrix Map (Bell, Masaoka &amp; Zimmerman); Plan estratégico en una página (Harnish); OKR (Doerr); Profit First (Michalowicz). Herramienta educativa: no sustituye el consejo profesional de tu CPA o abogado.</t>
  </si>
  <si>
    <t>1 · Mi Ficha</t>
  </si>
  <si>
    <t>Quién soy, qué tipo de organización dirijo y por qué empecé. Escoge PyME u OSFL: toda la herramienta se adapta a tu selección.</t>
  </si>
  <si>
    <t>Datos generales</t>
  </si>
  <si>
    <t>Nombre del negocio u organización</t>
  </si>
  <si>
    <t>Ej.: Tostadero La Loma  |  Manos que Alimentan</t>
  </si>
  <si>
    <t>Tipo de organización</t>
  </si>
  <si>
    <t>PyME</t>
  </si>
  <si>
    <t>Escoge PyME (con fines de lucro) u OSFL (sin fines de lucro)</t>
  </si>
  <si>
    <t>Sector o giro</t>
  </si>
  <si>
    <t>Ej.: café tostado local  |  alimentación de adultos mayores</t>
  </si>
  <si>
    <t>¿En qué etapa está tu proyecto hoy?</t>
  </si>
  <si>
    <t>Municipio(s) donde opero o sirvo</t>
  </si>
  <si>
    <t>Ej.: Naranjito, Barranquitas, Comerío</t>
  </si>
  <si>
    <t>Persona responsable</t>
  </si>
  <si>
    <t>Tu nombre</t>
  </si>
  <si>
    <t>Teléfono / correo electrónico</t>
  </si>
  <si>
    <t>Para tus aliados y mentores</t>
  </si>
  <si>
    <t>Fecha del taller</t>
  </si>
  <si>
    <t>Se usa para calcular tu fecha de revisión a 90 días</t>
  </si>
  <si>
    <t>¿Por qué empecé?  (Ejercicio de apertura)</t>
  </si>
  <si>
    <t>¿Quién se beneficia cuando mi proyecto triunfa? Escribe su nombre o el de tu comunidad.</t>
  </si>
  <si>
    <t>¿Qué me hizo empezar? (una o dos oraciones)</t>
  </si>
  <si>
    <t>Cómo usar esta herramienta: escribe solo en las celdas color crema con letra azul. Las celdas grises calculan solas; no hace falta tocarlas. Si escoges OSFL, los títulos y ejemplos cambian al lenguaje de organizaciones sin fines de lucro.</t>
  </si>
  <si>
    <t>2 · Mi Business Model Canvas: mi modelo de negocio en una página  (Ejercicio 1)</t>
  </si>
  <si>
    <t>Business Model Canvas (Osterwalder y Pigneur) para PyMEs · Social Business Model Canvas (Social Innovation Lab) para OSFL: misma cuadrícula, otras preguntas. Una idea por línea; escribe corto.</t>
  </si>
  <si>
    <t>Orden sugerido para llenar: 1 → 10. Empieza por quién tiene el problema (1) y qué valor le das (2). Los números de costos e ingresos se trabajan en la pestaña 6.</t>
  </si>
  <si>
    <t>Del Canvas al plan: una oración por bloque (con un dato, cada oración es un párrafo del plan)</t>
  </si>
  <si>
    <t>Bloque</t>
  </si>
  <si>
    <t>Frase semilla: llena los espacios con tus notas y un dato</t>
  </si>
  <si>
    <t>Mi oración (escríbela completa)</t>
  </si>
  <si>
    <t>Va a la sección</t>
  </si>
  <si>
    <t>3 · Canales</t>
  </si>
  <si>
    <t>7</t>
  </si>
  <si>
    <t>6 · Recursos clave</t>
  </si>
  <si>
    <t>6</t>
  </si>
  <si>
    <t>7 · Actividades clave</t>
  </si>
  <si>
    <t>9 · Estructura de costos</t>
  </si>
  <si>
    <t>4 y 7</t>
  </si>
  <si>
    <t>Una nota adhesiva = una oración. Una oración + un dato = un párrafo del plan. Diez oraciones con sus datos = el borrador de las secciones 3 a 7. Hoy escribes la del bloque 2 (pestaña 3); las demás, al terminar el Canvas o en las semanas 1 y 2. La sección indica a qué parte del plan formal va cada oración (pestaña 12).</t>
  </si>
  <si>
    <t>3 · Tu propuesta, tu rumbo y tu filtro de estrategia  (Ejercicio 2)</t>
  </si>
  <si>
    <t>Claridad estratégica: hacia adentro. Si no lo puedes decir en una oración, todavía no está claro.</t>
  </si>
  <si>
    <t>A. Mi propuesta en una oración: qué ofrezco, a quién y por qué a mí (propuesta de valor)</t>
  </si>
  <si>
    <t>Ayudamos a… (quién)</t>
  </si>
  <si>
    <t>a… (resolver qué problema o situación)</t>
  </si>
  <si>
    <t>mediante… (tu solución)</t>
  </si>
  <si>
    <t>a diferencia de… (la alternativa de hoy)</t>
  </si>
  <si>
    <t>porque… (tu prueba o diferenciador)</t>
  </si>
  <si>
    <t>Mi propuesta:</t>
  </si>
  <si>
    <t>B. Mi rumbo</t>
  </si>
  <si>
    <t>Misión (hoy): ¿para qué existimos?</t>
  </si>
  <si>
    <t>Visión (3 años): ¿dónde queremos estar?</t>
  </si>
  <si>
    <t>Mi ventaja competitiva</t>
  </si>
  <si>
    <t>Mis 3 valores no negociables</t>
  </si>
  <si>
    <t>C. Mi filtro de estrategia (La Piana): 5 criterios que toda oportunidad debe pasar</t>
  </si>
  <si>
    <t>Oportunidad que quiero evaluar:</t>
  </si>
  <si>
    <t>Criterio</t>
  </si>
  <si>
    <t>¿Por qué es importante para nosotros?</t>
  </si>
  <si>
    <t>¿La oportunidad lo cumple?</t>
  </si>
  <si>
    <t>Ejemplo de criterio</t>
  </si>
  <si>
    <t>Resultado del filtro:</t>
  </si>
  <si>
    <t>D. FODA rápido</t>
  </si>
  <si>
    <t>Fortalezas (adentro)</t>
  </si>
  <si>
    <t>Debilidades (adentro)</t>
  </si>
  <si>
    <t>Oportunidades (afuera)</t>
  </si>
  <si>
    <t>Amenazas (afuera)</t>
  </si>
  <si>
    <t>4 · Mi plan de validación  (Ejercicio 3)</t>
  </si>
  <si>
    <t>Validación: hacia afuera. Enamórate del problema, no de tu solución. Ningún plan avanza sin datos de la calle.</t>
  </si>
  <si>
    <t>A. Mis supuestos: lo que creo pero todavía no he probado</t>
  </si>
  <si>
    <t>Supuesto  ("Creo que…")</t>
  </si>
  <si>
    <t>Tipo</t>
  </si>
  <si>
    <t>Si me equivoco, ¿cuánto pierdo?</t>
  </si>
  <si>
    <t>¿Cuánta evidencia tengo hoy?</t>
  </si>
  <si>
    <t>Prioridad</t>
  </si>
  <si>
    <t>B. Mis 3 preguntas de campo (pregunta por lo que la gente HIZO, no por lo que opina)</t>
  </si>
  <si>
    <t>Pregunta 1</t>
  </si>
  <si>
    <t>Pregunta 2</t>
  </si>
  <si>
    <t>Pregunta 3</t>
  </si>
  <si>
    <t>¿A quién entrevistaré? (meta: 15 a 20 personas)</t>
  </si>
  <si>
    <t>Fecha límite para terminar las entrevistas</t>
  </si>
  <si>
    <t>C. Mi experimento: el Producto Mínimo Viable (MVP) más barato y rápido</t>
  </si>
  <si>
    <t>¿Qué voy a probar? (descríbelo en una oración)</t>
  </si>
  <si>
    <t>Costo máximo que voy a arriesgar ($)</t>
  </si>
  <si>
    <t>Duración (días)</t>
  </si>
  <si>
    <t>Meta numérica de éxito (decídela ANTES de empezar)</t>
  </si>
  <si>
    <t>Fecha de inicio</t>
  </si>
  <si>
    <t>D. Resultados (llénalo después del experimento)</t>
  </si>
  <si>
    <t>Personas entrevistadas</t>
  </si>
  <si>
    <t>Resultado real (mismo indicador que la meta)</t>
  </si>
  <si>
    <t>Lo más importante que aprendí</t>
  </si>
  <si>
    <t>Decisión (semáforo):</t>
  </si>
  <si>
    <t>E. Copiloto digital (opcional): copia este texto en la herramienta de IA de tu teléfono</t>
  </si>
  <si>
    <t>Usa la respuesta como ideas para validar, no como verdad: confirma permisos y contribuciones con la agencia o con tu CPA. No compartas datos personales, de clientes ni números de cuentas.</t>
  </si>
  <si>
    <t>5 · Realidad Puerto Rico: cumplimiento y continuidad  (Ejercicio 4)</t>
  </si>
  <si>
    <t>Lo que un plan genérico no incluye: permisología, contribuciones y riesgos de operar en la isla. Verifica cada trámite con la agencia o con tu CPA.</t>
  </si>
  <si>
    <t>A. Mi lista de cumplimiento</t>
  </si>
  <si>
    <t>Trámite</t>
  </si>
  <si>
    <t>Dónde se hace</t>
  </si>
  <si>
    <t>Aplica a</t>
  </si>
  <si>
    <t>¿Aplica a mí?</t>
  </si>
  <si>
    <t>Fecha meta</t>
  </si>
  <si>
    <t>Notas</t>
  </si>
  <si>
    <t>Escoger estructura legal y registrar la entidad</t>
  </si>
  <si>
    <t>Departamento de Estado (Registro de Corporaciones)</t>
  </si>
  <si>
    <t>Ambos</t>
  </si>
  <si>
    <t>Informe anual de la corporación</t>
  </si>
  <si>
    <t>Departamento de Estado</t>
  </si>
  <si>
    <t>Número de identificación patronal federal (EIN)</t>
  </si>
  <si>
    <t>IRS</t>
  </si>
  <si>
    <t>Registro de Comerciante y cobro/remesa de IVU</t>
  </si>
  <si>
    <t>Departamento de Hacienda (SURI)</t>
  </si>
  <si>
    <t>Patente municipal (declaración de volumen de negocios)</t>
  </si>
  <si>
    <t>Municipio donde opera</t>
  </si>
  <si>
    <t>Planilla de propiedad mueble</t>
  </si>
  <si>
    <t>CRIM</t>
  </si>
  <si>
    <t>Permiso Único / permiso de uso del local</t>
  </si>
  <si>
    <t>OGPe (Single Business Portal)</t>
  </si>
  <si>
    <t>Póliza de la Corporación del Fondo del Seguro del Estado</t>
  </si>
  <si>
    <t>CFSE</t>
  </si>
  <si>
    <t>Registro patronal: desempleo y SINOT</t>
  </si>
  <si>
    <t>Departamento del Trabajo y Recursos Humanos</t>
  </si>
  <si>
    <t>Retenciones y planillas de nómina (estatal y federal)</t>
  </si>
  <si>
    <t>Hacienda (SURI) e IRS</t>
  </si>
  <si>
    <t>Licencia sanitaria (si maneja alimentos)</t>
  </si>
  <si>
    <t>Departamento de Salud</t>
  </si>
  <si>
    <t>Certificaciones de deuda / cumplimiento (para propuestas y contratos)</t>
  </si>
  <si>
    <t>Hacienda, CRIM, ASUME, DTRH</t>
  </si>
  <si>
    <t>Certificación de exención contributiva (Sección 1101.01)</t>
  </si>
  <si>
    <t>Departamento de Hacienda</t>
  </si>
  <si>
    <t>OSFL</t>
  </si>
  <si>
    <t>Exención federal 501(c)(3), si busca fondos federales o de fundaciones</t>
  </si>
  <si>
    <t>IRS (Formulario 1023 o 1023-EZ)</t>
  </si>
  <si>
    <t>Registro en SAM.gov (UEI) para fondos federales</t>
  </si>
  <si>
    <t>SAM.gov</t>
  </si>
  <si>
    <t>Seguros de responsabilidad pública y de propiedad</t>
  </si>
  <si>
    <t>Corredor de seguros</t>
  </si>
  <si>
    <t>Trámites que me aplican y no están completados:</t>
  </si>
  <si>
    <t>Nota: la reforma de permisos (Ley 111-2025) estaba sujeta a revisión de la Junta de Supervisión Fiscal a principios de 2026; confirma el procedimiento vigente en la OGPe antes de planificar tiempos. Jóvenes de 29 años o menos que comienzan su primer negocio: pregunta por el programa de la Ley 389-2004, enmendada por la Ley 103-2026, en el Banco de Desarrollo Económico.</t>
  </si>
  <si>
    <t>B. Mi plan de continuidad: ¿qué hago si…?</t>
  </si>
  <si>
    <t>Huracán o tormenta (junio a noviembre)</t>
  </si>
  <si>
    <t>Ej.: Inventario en alto, póliza revisada, lista de clientes en la nube</t>
  </si>
  <si>
    <t>Apagón prolongado</t>
  </si>
  <si>
    <t>Ej.: Planta o placas solares, ruta alterna de producción</t>
  </si>
  <si>
    <t>Pérdida de computadora o datos</t>
  </si>
  <si>
    <t>Ej.: Respaldo semanal en la nube, contraseñas seguras</t>
  </si>
  <si>
    <t>Me enfermo o falta la persona clave</t>
  </si>
  <si>
    <t>Ej.: Manual de 1 página por proceso, persona de respaldo</t>
  </si>
  <si>
    <t>Perdemos el cliente o donante más grande</t>
  </si>
  <si>
    <t>Ej.: Ningún cliente o donante mayor de 25% de ingresos; reserva de 3 meses</t>
  </si>
  <si>
    <t>6 · Mis números básicos  (Ejercicio 5)</t>
  </si>
  <si>
    <t>Matemática simple para contestar una pregunta: ¿hacen sentido los números? Los números no son para asustarse; son para darte libertad.</t>
  </si>
  <si>
    <t>MI NÚMERO CLAVE:</t>
  </si>
  <si>
    <t>A. Costos fijos mensuales (lo que pago venda o no venda)</t>
  </si>
  <si>
    <t>Renta o local</t>
  </si>
  <si>
    <t>Incluye la realidad de la isla: luz, agua, seguros, patente, CRIM y la compensación de quien dirige. Si tú no te pagas, el negocio todavía no es sostenible.</t>
  </si>
  <si>
    <t>Luz (LUMA): calculada abajo en la sección C</t>
  </si>
  <si>
    <t>Agua (AAA)</t>
  </si>
  <si>
    <t>Internet y teléfono</t>
  </si>
  <si>
    <t>Nómina con cargas patronales: de la calculadora (sección B)</t>
  </si>
  <si>
    <t>Otra nómina o ajuste</t>
  </si>
  <si>
    <t>Compensación del dueño o director(a)</t>
  </si>
  <si>
    <t>Seguros (responsabilidad, propiedad)</t>
  </si>
  <si>
    <t>Patente municipal, CRIM y licencias (anual ÷ 12)</t>
  </si>
  <si>
    <t>Contabilidad y servicios profesionales</t>
  </si>
  <si>
    <t>Mercadeo y redes sociales</t>
  </si>
  <si>
    <t>Transporte y mantenimiento</t>
  </si>
  <si>
    <t>Pago mensual de préstamos</t>
  </si>
  <si>
    <t>Otros fijos</t>
  </si>
  <si>
    <t>TOTAL COSTOS FIJOS MENSUALES</t>
  </si>
  <si>
    <t>B. Costo real de un empleado en Puerto Rico (calculadora)</t>
  </si>
  <si>
    <t>Salario por hora ($)</t>
  </si>
  <si>
    <t>Salario mínimo en PR: $10.50 por hora desde el 1 de julio de 2024.</t>
  </si>
  <si>
    <t>Horas por semana</t>
  </si>
  <si>
    <t>Número de empleados con ese salario</t>
  </si>
  <si>
    <t>Escribe 0 si todavía no tienes empleados.</t>
  </si>
  <si>
    <t>Seguro Social y Medicare patronal</t>
  </si>
  <si>
    <t>6.2% Seguro Social + 1.45% Medicare (federal).</t>
  </si>
  <si>
    <t>Desempleo federal (FUTA) neto, sobre los primeros $7,000</t>
  </si>
  <si>
    <t>Tasa neta usual con crédito estatal; verifica con tu CPA.</t>
  </si>
  <si>
    <t>Desempleo estatal, sobre los primeros $7,000</t>
  </si>
  <si>
    <t>Patrono nuevo 2026 (referencia: PaycheckCity). Tu tasa la asigna el DTRH.</t>
  </si>
  <si>
    <t>Contribución especial patronal, sobre los primeros $7,000</t>
  </si>
  <si>
    <t>Referencia 2026; verifica con el DTRH.</t>
  </si>
  <si>
    <t>SINOT (incapacidad) patronal, sobre los primeros $9,000</t>
  </si>
  <si>
    <t>0.3% patronal hasta $9,000 de salario.</t>
  </si>
  <si>
    <t>CFSE estimado (% del salario)</t>
  </si>
  <si>
    <t>Varía por tipo de trabajo. Usa la tasa de tu póliza.</t>
  </si>
  <si>
    <t>Bono de Navidad y otros beneficios por empleado ($ al año)</t>
  </si>
  <si>
    <t>Según la ley aplicable a tu patrono; confírmalo con tu CPA.</t>
  </si>
  <si>
    <t>Salario anual por empleado</t>
  </si>
  <si>
    <t>Cargas patronales anuales por empleado</t>
  </si>
  <si>
    <t>Costo total anual por empleado</t>
  </si>
  <si>
    <t>Cada $1.00 de salario me cuesta realmente…</t>
  </si>
  <si>
    <t>Costo mensual de nómina con cargas (pasa a la sección A)</t>
  </si>
  <si>
    <t>C. Luz: estimado de la factura de LUMA</t>
  </si>
  <si>
    <t>Consumo estimado (kWh al mes)</t>
  </si>
  <si>
    <t>Búscalo en tu factura. Ej.: un local pequeño con nevera comercial y aire puede usar 1,000 a 1,500 kWh.</t>
  </si>
  <si>
    <t>Costo por kWh ($)</t>
  </si>
  <si>
    <t>33.86¢ por kWh: tarifa aprobada por el Negociado de Energía, vigente desde el 1 de octubre de 2026 (residencial de referencia). Ajústala a tu tarifa comercial.</t>
  </si>
  <si>
    <t>Factura estimada de luz al mes (pasa a la sección A)</t>
  </si>
  <si>
    <t>D. Si soy PyME: mi punto de equilibrio</t>
  </si>
  <si>
    <t>¿Qué unidad vendo? (bolsa, plato, servicio, hora…)</t>
  </si>
  <si>
    <t>Precio de venta por unidad, sin IVU ($)</t>
  </si>
  <si>
    <t>El IVU que cobras no es tuyo: es del gobierno. Guárdalo aparte.</t>
  </si>
  <si>
    <t>Costo variable por unidad ($): materiales, empaque, comisiones</t>
  </si>
  <si>
    <t>Margen de contribución por unidad</t>
  </si>
  <si>
    <t>Lo que cada venta deja para pagar los costos fijos.</t>
  </si>
  <si>
    <t>Margen de contribución (%)</t>
  </si>
  <si>
    <t>PUNTO DE EQUILIBRIO (unidades al mes)</t>
  </si>
  <si>
    <t>Costos fijos ÷ (precio − costo variable).</t>
  </si>
  <si>
    <t>Punto de equilibrio en ventas ($ al mes)</t>
  </si>
  <si>
    <t>Días de venta al mes</t>
  </si>
  <si>
    <t>Unidades por día para no perder</t>
  </si>
  <si>
    <t>Unidades que espero vender al mes (según mi validación)</t>
  </si>
  <si>
    <t>Ganancia (o pérdida) estimada al mes</t>
  </si>
  <si>
    <t>Margen de seguridad (cuánto pueden bajar las ventas antes de perder)</t>
  </si>
  <si>
    <t>E. Si soy OSFL: mi costo unitario por impacto</t>
  </si>
  <si>
    <t>¿Qué unidad de impacto entrego? (almuerzo, tutoría, visita…)</t>
  </si>
  <si>
    <t>Costo directo por unidad ($): comida, materiales, transporte</t>
  </si>
  <si>
    <t>Unidades de impacto que entrego al mes</t>
  </si>
  <si>
    <t>Costo total del programa al mes</t>
  </si>
  <si>
    <t>COSTO UNITARIO POR IMPACTO</t>
  </si>
  <si>
    <t>Costo total del programa ÷ unidades de impacto del mes.</t>
  </si>
  <si>
    <t>Fondos comprometidos al mes (donativos, propuestas, servicios)</t>
  </si>
  <si>
    <t>Brecha mensual que debo recaudar</t>
  </si>
  <si>
    <t>Mi escalera de donativos:</t>
  </si>
  <si>
    <t>Esto convierte una petición abstracta ("ayúdanos") en una inversión social medible ("con $100 aseguras 25 almuerzos").</t>
  </si>
  <si>
    <t>F. Tres escenarios: conservador en los números, optimista en la visión</t>
  </si>
  <si>
    <t>Conservador</t>
  </si>
  <si>
    <t>Esperado</t>
  </si>
  <si>
    <t>Optimista</t>
  </si>
  <si>
    <t>Factor de volumen y fondos (respecto al esperado)</t>
  </si>
  <si>
    <t>Volumen del mes (unidades vendidas o de impacto)</t>
  </si>
  <si>
    <t>Ingresos o fondos del mes</t>
  </si>
  <si>
    <t>Costos variables</t>
  </si>
  <si>
    <t>Costos fijos</t>
  </si>
  <si>
    <t>RESULTADO DEL MES (ganancia/excedente o pérdida/déficit)</t>
  </si>
  <si>
    <t>Si el escenario conservador da pérdida, tu plan necesita una reserva de efectivo, un costo más bajo o una fuente de ingreso adicional antes de crecer.</t>
  </si>
  <si>
    <t>7 · Mi flujo de caja de 12 meses</t>
  </si>
  <si>
    <t>El efectivo manda. Anota lo que entra y sale del banco cada mes. Ojo con la ventana de noviembre a Reyes: para muchas OSFL y comercios es la más importante del año.</t>
  </si>
  <si>
    <t>Mes de inicio (primer día del mes)</t>
  </si>
  <si>
    <t>Saldo en banco al empezar ($)</t>
  </si>
  <si>
    <t>Meses de reserva que quiero tener</t>
  </si>
  <si>
    <t>Concepto</t>
  </si>
  <si>
    <t>Total 12 meses</t>
  </si>
  <si>
    <t>ENTRADAS DE EFECTIVO</t>
  </si>
  <si>
    <t>Ventas o servicios (cobrados)</t>
  </si>
  <si>
    <t>Donativos individuales</t>
  </si>
  <si>
    <t>Propuestas, subvenciones y contratos</t>
  </si>
  <si>
    <t>Eventos y actividades de recaudación</t>
  </si>
  <si>
    <t>Préstamos o aportación de capital</t>
  </si>
  <si>
    <t>Otras entradas</t>
  </si>
  <si>
    <t>Total entradas</t>
  </si>
  <si>
    <t>SALIDAS DE EFECTIVO</t>
  </si>
  <si>
    <t>Compras y costos variables</t>
  </si>
  <si>
    <t>Nómina y cargas patronales</t>
  </si>
  <si>
    <t>Renta</t>
  </si>
  <si>
    <t>Luz (LUMA) y agua (AAA)</t>
  </si>
  <si>
    <t>Otros gastos fijos</t>
  </si>
  <si>
    <t>Pago de préstamos</t>
  </si>
  <si>
    <t>IVU a remitir, patente, CRIM y otros impuestos</t>
  </si>
  <si>
    <t>Compra de equipo</t>
  </si>
  <si>
    <t>Total salidas</t>
  </si>
  <si>
    <t>Flujo neto del mes</t>
  </si>
  <si>
    <t>Saldo al final del mes</t>
  </si>
  <si>
    <t>Alerta</t>
  </si>
  <si>
    <t>Reserva meta (meses × salidas promedio)</t>
  </si>
  <si>
    <t>Recomendación: separa tu reserva en una cuenta aparte, igual que el IVU que cobras.</t>
  </si>
  <si>
    <t>Saldo más bajo del año</t>
  </si>
  <si>
    <t>Mes del saldo más bajo</t>
  </si>
  <si>
    <t>8 · Del FODA a las decisiones: impacto vs. viabilidad financiera (Matrix Map)</t>
  </si>
  <si>
    <t>Bell, Masaoka y Zimmerman (Nonprofit Sustainability). Para OSFL con varios programas y PyMEs con varias líneas de productos.</t>
  </si>
  <si>
    <t>Califica de 1 a 4. IMPACTO: OSFL = cuánto adelanta la misión; PyME = qué tan importante es para tu estrategia y tus clientes. VIABILIDAD: 1 = pierde dinero, 2 = casi cubre su costo, 3 = cubre su costo, 4 = deja excedente o ganancia.</t>
  </si>
  <si>
    <t>Programa o línea de producto</t>
  </si>
  <si>
    <t>Impacto (1-4)</t>
  </si>
  <si>
    <t>Viabilidad financiera (1-4)</t>
  </si>
  <si>
    <t>Cuadrante</t>
  </si>
  <si>
    <t>Qué hacer</t>
  </si>
  <si>
    <t>Ejemplo OSFL: almuerzos diarios (impacto 4, viabilidad 2) = Corazón; venta de recetario y café solidario (impacto 2, viabilidad 4) = Árbol de dinero que ayuda a subsidiar los almuerzos.</t>
  </si>
  <si>
    <t>9 · Mi plan de 90 días  (Ejercicio 6)</t>
  </si>
  <si>
    <t>Un objetivo, tres resultados medibles y tareas con nombre y fecha. Los planes son buenas intenciones hasta que se convierten en trabajo.</t>
  </si>
  <si>
    <t>A. Mi objetivo (OKR)</t>
  </si>
  <si>
    <t>Objetivo: ¿qué quiero lograr en 90 días? (inspirador, sin números)</t>
  </si>
  <si>
    <t>Resultado clave (medible)</t>
  </si>
  <si>
    <t>Cómo lo mido</t>
  </si>
  <si>
    <t>Meta</t>
  </si>
  <si>
    <t>Logrado</t>
  </si>
  <si>
    <t>Resultado clave 1</t>
  </si>
  <si>
    <t>Resultado clave 2</t>
  </si>
  <si>
    <t>Resultado clave 3</t>
  </si>
  <si>
    <t>B. Mis tareas con responsable (RACI: Realiza · Aprueba · Consulta · Informa) y fecha</t>
  </si>
  <si>
    <t>Tarea</t>
  </si>
  <si>
    <t>KR #</t>
  </si>
  <si>
    <t>R: realiza</t>
  </si>
  <si>
    <t>A: aprueba</t>
  </si>
  <si>
    <t>C: consulta</t>
  </si>
  <si>
    <t>I: informa</t>
  </si>
  <si>
    <t>Comienza</t>
  </si>
  <si>
    <t>Termina</t>
  </si>
  <si>
    <t>Tareas completadas:</t>
  </si>
  <si>
    <t>C. Mi ritmo y mi compromiso</t>
  </si>
  <si>
    <t>Reunión semanal de 30 a 60 minutos (día y hora)</t>
  </si>
  <si>
    <t>Revisión mensual de números (fecha)</t>
  </si>
  <si>
    <t>Fecha de revisión a 90 días</t>
  </si>
  <si>
    <t>MI COMPROMISO: "En 90 días yo…"</t>
  </si>
  <si>
    <t>Mi Plan de Negocio Preliminar · en una página</t>
  </si>
  <si>
    <t>Se llena solo con lo que trabajaste. Imprímelo o guárdalo en PDF y revísalo cada mes.</t>
  </si>
  <si>
    <t>Quiénes somos</t>
  </si>
  <si>
    <t>Organización</t>
  </si>
  <si>
    <t>Tipo y etapa</t>
  </si>
  <si>
    <t>Dónde operamos</t>
  </si>
  <si>
    <t>Por qué existimos</t>
  </si>
  <si>
    <t>Claridad estratégica (hacia adentro)</t>
  </si>
  <si>
    <t>Mi propuesta (propuesta de valor)</t>
  </si>
  <si>
    <t>Misión</t>
  </si>
  <si>
    <t>Visión a 3 años</t>
  </si>
  <si>
    <t>Ventaja competitiva</t>
  </si>
  <si>
    <t>Canales</t>
  </si>
  <si>
    <t>Validación (hacia afuera)</t>
  </si>
  <si>
    <t>Supuesto a probar primero</t>
  </si>
  <si>
    <t>Mi experimento (MVP)</t>
  </si>
  <si>
    <t>Meta de éxito y fecha</t>
  </si>
  <si>
    <t>Decisión</t>
  </si>
  <si>
    <t>Entrevistas (meta 15-20)</t>
  </si>
  <si>
    <t>Los números básicos (sostenibilidad)</t>
  </si>
  <si>
    <t>Mi número clave</t>
  </si>
  <si>
    <t>Costos fijos al mes</t>
  </si>
  <si>
    <t>Resultado del mes (escenario esperado)</t>
  </si>
  <si>
    <t>Saldo más bajo del año (flujo de caja)</t>
  </si>
  <si>
    <t>Mes más apretado</t>
  </si>
  <si>
    <t>Trámites pendientes en PR</t>
  </si>
  <si>
    <t>Reserva meta</t>
  </si>
  <si>
    <t>Solicitud de fondos</t>
  </si>
  <si>
    <t>Para qué</t>
  </si>
  <si>
    <t>Ejecución: próximos 90 días</t>
  </si>
  <si>
    <t>Objetivo</t>
  </si>
  <si>
    <t>Resultados clave</t>
  </si>
  <si>
    <t>Reunión semanal</t>
  </si>
  <si>
    <t>Revisión a 90 días</t>
  </si>
  <si>
    <t>Mi compromiso</t>
  </si>
  <si>
    <t>Plan preparado en el taller Planificación de Negocios para PyMES y OSFL · Naranjito, Puerto Rico · Asesores Financieros Comunitarios, Inc. Este plan es un punto de partida; revísalo con tu CPA antes de presentarlo a un banco o a un donante.</t>
  </si>
  <si>
    <t>11 · Mi resumen ejecutivo en 8 oraciones</t>
  </si>
  <si>
    <t>Una página que se escribe al final y se lee primero. La sección B arma un borrador con lo que ya escribiste; la sección C es tu versión final.</t>
  </si>
  <si>
    <t>A. Mi solicitud de fondos (escribe aquí)</t>
  </si>
  <si>
    <t>Tipo de financiamiento</t>
  </si>
  <si>
    <t>Préstamo (banco, cooperativa, BDE), donativo o propuesta (fundación, municipio, fondos federales), inversión propia o ninguno por ahora.</t>
  </si>
  <si>
    <t>Monto que solicito ($)</t>
  </si>
  <si>
    <t>Para qué (uso de los fondos)</t>
  </si>
  <si>
    <t>Cómo se repaga, o qué impacto garantiza</t>
  </si>
  <si>
    <t>B. Borrador automático: se arma con lo que ya escribiste en las otras pestañas</t>
  </si>
  <si>
    <t>1 · Quiénes somos y qué hacemos</t>
  </si>
  <si>
    <t>2 · El problema y quién lo tiene</t>
  </si>
  <si>
    <t>3 · Nuestra solución y qué la hace distinta</t>
  </si>
  <si>
    <t>4 · El mercado o la población: tamaño y prueba</t>
  </si>
  <si>
    <t>5 · Cómo operamos y quién está detrás</t>
  </si>
  <si>
    <t>6 · Los números</t>
  </si>
  <si>
    <t>7 · Lo que pedimos, para qué y cómo se devuelve</t>
  </si>
  <si>
    <t>8 · Dónde estaremos en 90 días y en 3 años</t>
  </si>
  <si>
    <t>Los corchetes [ ] marcan lo que falta por escribir en otras pestañas. El borrador es un punto de partida: en la sección C lo editas con tus palabras.</t>
  </si>
  <si>
    <t>C. Mi resumen ejecutivo final: edita el borrador y pásalo en limpio aquí</t>
  </si>
  <si>
    <t>Palabras en mi resumen:</t>
  </si>
  <si>
    <t>Meta: entre 250 y 400 palabras, una página. Si pasa de 500, recorta.</t>
  </si>
  <si>
    <t>D. Lista de cotejo del plan formal: ¿qué tengo y qué me falta?</t>
  </si>
  <si>
    <t>Sección del plan formal</t>
  </si>
  <si>
    <t>Qué contesta</t>
  </si>
  <si>
    <t>De dónde sale hoy</t>
  </si>
  <si>
    <t>¿Por qué vale la pena leer el resto?</t>
  </si>
  <si>
    <t>Pestañas 10 y 11</t>
  </si>
  <si>
    <t>¿Quiénes somos y por qué existimos?</t>
  </si>
  <si>
    <t>Pestañas 1 y 3</t>
  </si>
  <si>
    <t>¿Quién tiene el problema y quién más lo atiende?</t>
  </si>
  <si>
    <t>Pestañas 2, 3 y 4</t>
  </si>
  <si>
    <t>¿Qué entregamos y qué lo hace distinto?</t>
  </si>
  <si>
    <t>Pestañas 3 y 4</t>
  </si>
  <si>
    <t>¿Cómo nos encuentran y cómo nos pagan?</t>
  </si>
  <si>
    <t>Pestaña 2</t>
  </si>
  <si>
    <t>¿Cómo funciona cada día y quién responde?</t>
  </si>
  <si>
    <t>Pestañas 2, 5 y 9</t>
  </si>
  <si>
    <t>¿Cómo se sostiene y cuándo deja de perder?</t>
  </si>
  <si>
    <t>Pestañas 6, 7 y 8</t>
  </si>
  <si>
    <t>¿Cuánto pedimos, para qué y cómo se devuelve?</t>
  </si>
  <si>
    <t>Pestaña 11 y certificaciones (5)</t>
  </si>
  <si>
    <t>Secciones que ya tengo:</t>
  </si>
  <si>
    <t>Los nombres de las secciones cambian según seas PyME u OSFL; la estructura es la misma que piden bancos, agencias y fundaciones. Lo que suele quedar para las 12 semanas: tabla de competencia, tamaño del mercado, proyección financiera a 3 años, organigrama y los anejos (certificaciones, cotizaciones, estados financieros). La guía para redactar cada sección está en la pestaña 12.</t>
  </si>
  <si>
    <t>12 · Guía para redactar mi plan formal</t>
  </si>
  <si>
    <t>Después del taller: una sección a la vez, en el orden de las 12 semanas. Marca el estado de cada punto y anota qué te falta. Los nombres cambian según seas PyME u OSFL.</t>
  </si>
  <si>
    <t>Puntos que ya tengo:</t>
  </si>
  <si>
    <t>Orden sugerido: semanas 1–2, secciones 2 y 4 · semanas 3–6, sección 3 · semanas 7–9, secciones 5, 6 y 7 · semanas 10–12, secciones 8 y 1.</t>
  </si>
  <si>
    <t>¿Quiénes somos y por qué existimos? · 1 a 2 páginas</t>
  </si>
  <si>
    <t>Semanas 1–2</t>
  </si>
  <si>
    <t>Qué debe contener</t>
  </si>
  <si>
    <t>Qué me falta o nota</t>
  </si>
  <si>
    <t>Misión, visión y los tres valores (Ejercicio 2)</t>
  </si>
  <si>
    <t>Dónde consigo los datos en Puerto Rico: Departamento de Estado, Registro de Corporaciones: Certificado de incorporación y certificado de existencia (good standing) · Hacienda (SURI): Certificado de Registro de Comerciante; para la OSFL, la carta de exención 1101.01 · IRS: Número patronal (EIN); para la OSFL, carta de determinación 501(c)(3) · Municipio y OGPe: Patente municipal, permiso de uso y Permiso Único</t>
  </si>
  <si>
    <t>Sale de hoy: Ejercicio 2 (misión, visión, valores) · pestañas 1 y 3 · página 7.   Errores comunes: 1) Contar la historia personal sin decir qué vende o qué hace la organización.  2) Omitir la estructura legal, los dueños o la junta.  3) Una misión de cinco líneas que nadie recuerda.</t>
  </si>
  <si>
    <t>¿Qué entregamos y qué lo hace distinto? · 2 a 3 páginas</t>
  </si>
  <si>
    <t>Tu propuesta en una sola oración (Ejercicio 2)</t>
  </si>
  <si>
    <t>Dónde consigo los datos en Puerto Rico: Pestañas 4 y 6: Resultados del MVP; precios, costos y márgenes o costo por unidad de impacto · Departamento de Estado, Registro de Marcas (PyME): Registra tu marca en Puerto Rico; USPTO para la marca federal · W.K. Kellogg Foundation, Logic Model Development Guide (OSFL): Guía gratuita del modelo lógico que piden los financiadores · Departamento de Salud: Certificado de manejador de alimentos si cocinas o sirves comida</t>
  </si>
  <si>
    <t>Sale de hoy: Ejercicios 2 y 3 · pestañas 3, 4 y 6 · páginas 7, 9 y 11.   Errores comunes: 1) Describir el producto sin el problema que resuelve.  2) Veinte productos sin foco: empieza con los dos o tres que más venden.  3) OSFL: confundir actividades (talleres dados) con resultados (qué cambió en la gente).</t>
  </si>
  <si>
    <t>¿Quién tiene el problema y quién más lo atiende? · 3 a 5 páginas</t>
  </si>
  <si>
    <t>Semanas 3–6</t>
  </si>
  <si>
    <t>Dónde consigo los datos en Puerto Rico: Censo de EE. UU. (data.census.gov): Censo 2020 y Encuesta de la Comunidad (PRCS) de 5 años por municipio: población, edad, ingreso y pobreza · County Business Patterns (Censo): Negocios de tu giro por municipio; para la OSFL, organizaciones parecidas · La agencia que atiende tu población: Salud, Familia, OPPEA (adultos mayores) o Educación: perfiles e informes por municipio · SBTDC, Instituto de Estadísticas y Junta de Planificación: Estudios de mercado por industria (gratis) e indicadores económicos · Candid y Estudios Técnicos (OSFL): Formularios 990 de organizaciones parecidas y el estudio de OSFL 2022</t>
  </si>
  <si>
    <t>Sale de hoy: Ejercicios 1 y 3 · pestañas 2 y 4 · páginas 4, 8 y 9.   Errores comunes: 1) «Mi mercado es todo Puerto Rico» o «no tengo competencia».  2) Datos sin fuente, sin fecha o de hace diez años.  3) No usar las entrevistas: la evidencia propia vale más que la estadística.</t>
  </si>
  <si>
    <t>¿Cómo nos encuentran y cómo nos pagan? · 2 a 3 páginas</t>
  </si>
  <si>
    <t>Semanas 7–9</t>
  </si>
  <si>
    <t>Dónde consigo los datos en Puerto Rico: Pestaña 2 y página 12: Canales y relación con clientes; calendario de temporada · Puerto Rico SBTDC y Colmena66 (PyME): Talleres de mercadeo digital y ventas al detal; conexión con programas de apoyo · Filantropía Puerto Rico y Fundación Comunitaria de PR (OSFL): Convocatorias y guías; Grants.gov y SAM.gov para fondos federales; fondos legislativos de impacto comunitario · M+R Benchmarks y GivingTuesday (OSFL): Referencias de retención de donantes y campañas digitales</t>
  </si>
  <si>
    <t>Sale de hoy: Ejercicio 1 (canales y relación) · pestaña 2 · página 12.   Errores comunes: 1) «Redes sociales» como todo el plan, sin meta ni presupuesto.  2) No decir cómo se cobra ni cuándo entra el dinero.  3) OSFL: depender de una sola fuente de fondos y no tener calendario de convocatorias.</t>
  </si>
  <si>
    <t>¿Cómo funciona cada día y quién responde? · 2 a 3 páginas</t>
  </si>
  <si>
    <t>Dónde consigo los datos en Puerto Rico: Pestañas 5 y 9; página 10: Lista de cumplimiento, RACI y plan de continuidad · Departamento del Trabajo (DTRH) y CFSE: Leyes laborales, bono de Navidad, seguro por desempleo; póliza obligatoria del Fondo · OGPe, municipio y Departamento de Estado: Permiso Único, patente y uso; informe anual de corporaciones · BoardSource y National Council of Nonprofits (OSFL): Guías de gobernanza y políticas modelo (conflicto de intereses, controles internos)</t>
  </si>
  <si>
    <t>Sale de hoy: Ejercicios 4 y 6 · pestañas 5 y 9 · páginas 10 y 13.   Errores comunes: 1) No decir quién hace qué: todo recae en el dueño o la directora.  2) Calcular la nómina sin cargas patronales ni bono de Navidad.  3) Permisos «en trámite» sin fecha ni responsable; OSFL: junta de familiares sin políticas escritas.</t>
  </si>
  <si>
    <t>¿Cómo se sostiene y cuándo deja de perder? · 3 a 5 páginas, más las tablas en anejos</t>
  </si>
  <si>
    <t>Dónde consigo los datos en Puerto Rico: Pestañas 6 y 7; página 11: Punto de equilibrio o costo por impacto, flujo de caja y escenarios; los costos de hoy: LUMA 33.86 ¢/kWh y nómina $1.11 por $1 · SBA y SCORE: Plantillas gratuitas de proyecciones financieras; pide al banco, la cooperativa o el BDE el formato que usan · Tu CPA: Revisa supuestos, planillas y la proyección antes de entregarla · Nonprofit Finance Fund y Propel Nonprofits (OSFL): Guías de reserva operativa, presupuesto por programa y plantillas</t>
  </si>
  <si>
    <t>Sale de hoy: Ejercicio 5 · pestañas 6, 7 y 8 · página 11.   Errores comunes: 1) Ventas optimistas sin decir de dónde salen.  2) Olvidar el salario del dueño o la directora, las cargas patronales y la reserva.  3) Números que no cuadran entre secciones: el precio de la sección 4 y el flujo de la 7 deben ser el mismo.</t>
  </si>
  <si>
    <t>¿Cuánto pedimos, para qué y cómo se devuelve? · 1 página, más los anejos</t>
  </si>
  <si>
    <t>Semanas 10–12</t>
  </si>
  <si>
    <t>Dónde consigo los datos en Puerto Rico: Certificaciones: Hacienda (radicación de planillas y deuda), CRIM (deuda), ASUME, DTRH (desempleo), CFSE (póliza) y Departamento de Estado (existencia): las mismas que pide el Registro Único de Licitadores (ASG) · Pestaña 11, secciones A y D; pestaña 5: Solicitud de fondos, lista de cotejo y lista de cumplimiento · El financiador: Pide su lista exacta de requisitos antes de escribir; cada banco, agencia y fundación tiene la suya · SAM.gov y Grants.gov (OSFL, fondos federales): Registro y número UEI (gratis) y convocatorias</t>
  </si>
  <si>
    <t>Sale de hoy: Pestaña 11 · página 14 · lista de cumplimiento de la pestaña 5.   Errores comunes: 1) Un monto redondo sin desglose ni cotizaciones.  2) Pedir sin decir cuánto pones tú.  3) Certificaciones vencidas o anejos sin índice.</t>
  </si>
  <si>
    <t>1 · Resumen ejecutivo</t>
  </si>
  <si>
    <t>¿Por qué vale la pena leer el resto? · 1 página</t>
  </si>
  <si>
    <t>Dónde consigo los datos en Puerto Rico: Las otras siete secciones: No introduce datos nuevos: resume lo que ya escribiste · Pestaña 11 de la herramienta: Arma el borrador en ocho oraciones con lo que ya llenaste · Página 14 del cuaderno: Las ocho oraciones y la solicitud de fondos</t>
  </si>
  <si>
    <t>Sale de hoy: Ejercicios 1 a 6 · pestañas 10 y 11 · página 14.   Errores comunes: 1) Escribirlo primero, cuando todavía no hay números.  2) Más de una página, o sin el número clave y sin la solicitud.  3) Adjetivos («excelente», «único») en vez de datos.</t>
  </si>
  <si>
    <t>Cinco reglas de redacción. 1) Cada afirmación con un dato, una fuente o una evidencia propia: «Hay mucha demanda» no vale; «16 de 20 colmados entrevistados comprarían» sí.  2) El mismo número en todas las secciones: El precio de la sección 4, las unidades de la 3 y el flujo de caja de la 7 tienen que cuadrar. Si cambias uno, cambia todos.  3) Escribe para quien no te conoce: Oraciones cortas, en presente, sin siglas sin explicar. Una página de resumen y 15 a 30 páginas de plan, más los anejos.  4) Pide la lista exacta del financiador antes de escribir: Cada banco, cooperativa, agencia y fundación tiene su formato y sus anejos. Escribe una vez y adapta el orden.  5) Revísalo con tu CPA antes de entregarlo: Supuestos, planillas, proyección y certificaciones. Un número que no cuadra cuesta más que una semana de espera.  Formatos de referencia: SBA (plan tradicional), Puerto Rico SBTDC y CNDE; para OSFL, La Piana (The Nonprofit Business Plan) y The Foraker Group. Extensión total: 15 a 30 páginas más anejos. Los ejemplos del anexo del cuaderno son inventados para aprender.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</si>
</sst>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[$-500A]d\ mmm\ yyyy"/>
    <numFmt numFmtId="165" formatCode="\$#,##0"/>
    <numFmt numFmtId="166" formatCode="d\ mmm\ yyyy"/>
    <numFmt numFmtId="167" formatCode="\$#,##0;\(\$#,##0\);&quot;-&quot;"/>
    <numFmt numFmtId="168" formatCode="\$#,##0.00"/>
    <numFmt numFmtId="169" formatCode="\$0.00"/>
    <numFmt numFmtId="170" formatCode="\$0.0000"/>
    <numFmt numFmtId="171" formatCode="0.0%"/>
    <numFmt numFmtId="172" formatCode="\$#,##0;[Red]\(\$#,##0\);&quot;-&quot;"/>
    <numFmt numFmtId="173" formatCode="0%;[Red]\-0%"/>
    <numFmt numFmtId="174" formatCode="&quot;Con un donativo de &quot;\$#,##0"/>
    <numFmt numFmtId="175" formatCode="[$-500A]mmmm\ yyyy"/>
    <numFmt numFmtId="176" formatCode="[$-500A]mmm\ yy"/>
    <numFmt numFmtId="177" formatCode="#,##0;\(#,##0\);&quot;-&quot;"/>
    <numFmt numFmtId="178" formatCode="[$-500A]d\ mmm"/>
    <numFmt numFmtId="179" formatCode="[$-500A]d\ mmmm\ yyyy"/>
  </numFmts>
  <fonts count="28" x14ac:knownFonts="1">
    <font>
      <sz val="11"/>
      <color theme="1"/>
      <name val="Calibri"/>
      <family val="2"/>
      <scheme val="minor"/>
    </font>
    <font>
      <b/>
      <sz val="18"/>
      <color rgb="FFFFFFFF"/>
      <name val="Arial"/>
    </font>
    <font>
      <i/>
      <sz val="10"/>
      <color rgb="FFFFFFFF"/>
      <name val="Arial"/>
    </font>
    <font>
      <b/>
      <sz val="11"/>
      <color rgb="FFFFFFFF"/>
      <name val="Arial"/>
    </font>
    <font>
      <b/>
      <sz val="10"/>
      <color rgb="FF222222"/>
      <name val="Arial"/>
    </font>
    <font>
      <sz val="10"/>
      <color rgb="FF0000FF"/>
      <name val="Arial"/>
    </font>
    <font>
      <i/>
      <sz val="9"/>
      <color rgb="FF6B6B6B"/>
      <name val="Arial"/>
    </font>
    <font>
      <b/>
      <sz val="11"/>
      <color rgb="FF0000FF"/>
      <name val="Arial"/>
    </font>
    <font>
      <sz val="10"/>
      <color rgb="FF222222"/>
      <name val="Arial"/>
    </font>
    <font>
      <b/>
      <sz val="10"/>
      <color rgb="FFFFFFFF"/>
      <name val="Arial"/>
    </font>
    <font>
      <i/>
      <sz val="8"/>
      <color rgb="FF6B6B6B"/>
      <name val="Arial"/>
    </font>
    <font>
      <b/>
      <sz val="9"/>
      <color rgb="FF222222"/>
      <name val="Arial"/>
    </font>
    <font>
      <b/>
      <sz val="9"/>
      <color rgb="FF325F62"/>
      <name val="Arial"/>
    </font>
    <font>
      <b/>
      <sz val="10"/>
      <color rgb="FF325F62"/>
      <name val="Arial"/>
    </font>
    <font>
      <b/>
      <sz val="10"/>
      <color rgb="FFF26524"/>
      <name val="Arial"/>
    </font>
    <font>
      <sz val="9"/>
      <color rgb="FF222222"/>
      <name val="Arial"/>
    </font>
    <font>
      <sz val="9"/>
      <color rgb="FF6B6B6B"/>
      <name val="Arial"/>
    </font>
    <font>
      <b/>
      <sz val="11"/>
      <color rgb="FFF26524"/>
      <name val="Arial"/>
    </font>
    <font>
      <sz val="10"/>
      <color rgb="FF008000"/>
      <name val="Arial"/>
    </font>
    <font>
      <b/>
      <sz val="10"/>
      <color rgb="FF37B34A"/>
      <name val="Arial"/>
    </font>
    <font>
      <b/>
      <sz val="12"/>
      <color rgb="FF325F62"/>
      <name val="Arial"/>
    </font>
    <font>
      <i/>
      <sz val="9"/>
      <color rgb="FFFFFFFF"/>
      <name val="Arial"/>
    </font>
    <font>
      <b/>
      <sz val="9"/>
      <color rgb="FFFFFFFF"/>
      <name val="Arial"/>
    </font>
    <font>
      <sz val="8"/>
      <color rgb="FF325F62"/>
      <name val="Arial"/>
    </font>
    <font>
      <b/>
      <sz val="24"/>
      <color rgb="FFF26524"/>
      <name val="Arial"/>
    </font>
    <font>
      <b/>
      <sz val="13"/>
      <color rgb="FF325F62"/>
      <name val="Arial"/>
    </font>
    <font>
      <b/>
      <sz val="11"/>
      <color rgb="FF325F62"/>
      <name val="Arial"/>
    </font>
    <font>
      <u/>
      <sz val="10"/>
      <color rgb="FF138986"/>
      <name val="Arial"/>
    </font>
  </fonts>
  <fills count="10">
    <fill>
      <patternFill patternType="none"/>
    </fill>
    <fill>
      <patternFill patternType="gray125"/>
    </fill>
    <fill>
      <patternFill patternType="solid">
        <fgColor rgb="FF325F62"/>
        <bgColor rgb="FF325F62"/>
      </patternFill>
    </fill>
    <fill>
      <patternFill patternType="solid">
        <fgColor rgb="FF138986"/>
        <bgColor rgb="FF138986"/>
      </patternFill>
    </fill>
    <fill>
      <patternFill patternType="solid">
        <fgColor rgb="FFFFF6E5"/>
        <bgColor rgb="FFFFF6E5"/>
      </patternFill>
    </fill>
    <fill>
      <patternFill patternType="solid">
        <fgColor rgb="FFF26524"/>
        <bgColor rgb="FFF26524"/>
      </patternFill>
    </fill>
    <fill>
      <patternFill patternType="solid">
        <fgColor rgb="FFF1EFE5"/>
        <bgColor rgb="FFF1EFE5"/>
      </patternFill>
    </fill>
    <fill>
      <patternFill patternType="solid">
        <fgColor rgb="FFF7941D"/>
        <bgColor rgb="FFF7941D"/>
      </patternFill>
    </fill>
    <fill>
      <patternFill patternType="solid">
        <fgColor rgb="FF37B34A"/>
        <bgColor rgb="FF37B34A"/>
      </patternFill>
    </fill>
    <fill>
      <patternFill patternType="solid">
        <fgColor rgb="FFDDD7C3"/>
        <bgColor rgb="FFDDD7C3"/>
      </patternFill>
    </fill>
  </fills>
  <borders count="4">
    <border>
      <left/>
      <right/>
      <top/>
      <bottom/>
      <diagonal/>
    </border>
    <border>
      <left style="thin">
        <color rgb="FFC9C3AE"/>
      </left>
      <right style="thin">
        <color rgb="FFC9C3AE"/>
      </right>
      <top style="thin">
        <color rgb="FFC9C3AE"/>
      </top>
      <bottom style="thin">
        <color rgb="FFC9C3AE"/>
      </bottom>
      <diagonal/>
    </border>
    <border>
      <left/>
      <right/>
      <top style="thin">
        <color rgb="FFC9C3AE"/>
      </top>
      <bottom style="thin">
        <color rgb="FFC9C3AE"/>
      </bottom>
      <diagonal/>
    </border>
    <border>
      <left/>
      <right style="thin">
        <color rgb="FFC9C3AE"/>
      </right>
      <top style="thin">
        <color rgb="FFC9C3AE"/>
      </top>
      <bottom style="thin">
        <color rgb="FFC9C3AE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8" fillId="0" borderId="0" xfId="0" applyFont="1" applyAlignment="1">
      <alignment horizontal="left" vertical="top" wrapText="1"/>
    </xf>
    <xf numFmtId="0" fontId="0" fillId="6" borderId="1" xfId="0" applyFill="1" applyBorder="1"/>
    <xf numFmtId="0" fontId="11" fillId="9" borderId="0" xfId="0" applyFont="1" applyFill="1" applyAlignment="1">
      <alignment horizontal="center" vertical="center" wrapText="1"/>
    </xf>
    <xf numFmtId="0" fontId="26" fillId="9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9" fontId="4" fillId="6" borderId="1" xfId="0" applyNumberFormat="1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4" borderId="1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top" wrapText="1"/>
    </xf>
    <xf numFmtId="0" fontId="7" fillId="4" borderId="1" xfId="0" applyFont="1" applyFill="1" applyBorder="1" applyAlignment="1" applyProtection="1">
      <alignment horizontal="left" vertical="center" wrapText="1"/>
      <protection locked="0"/>
    </xf>
    <xf numFmtId="164" fontId="5" fillId="4" borderId="1" xfId="0" applyNumberFormat="1" applyFont="1" applyFill="1" applyBorder="1" applyAlignment="1" applyProtection="1">
      <alignment horizontal="left" vertical="center" wrapText="1"/>
      <protection locked="0"/>
    </xf>
    <xf numFmtId="0" fontId="9" fillId="3" borderId="0" xfId="0" applyFont="1" applyFill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 wrapText="1"/>
    </xf>
    <xf numFmtId="0" fontId="9" fillId="8" borderId="0" xfId="0" applyFont="1" applyFill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4" fillId="9" borderId="0" xfId="0" applyFont="1" applyFill="1" applyAlignment="1">
      <alignment horizontal="left" vertical="center" wrapText="1"/>
    </xf>
    <xf numFmtId="0" fontId="4" fillId="9" borderId="0" xfId="0" applyFont="1" applyFill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left" vertical="center" wrapText="1"/>
    </xf>
    <xf numFmtId="0" fontId="11" fillId="6" borderId="1" xfId="0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3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166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1" fontId="4" fillId="6" borderId="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167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167" fontId="18" fillId="6" borderId="1" xfId="0" applyNumberFormat="1" applyFont="1" applyFill="1" applyBorder="1" applyAlignment="1">
      <alignment horizontal="center" vertical="center" wrapText="1"/>
    </xf>
    <xf numFmtId="167" fontId="4" fillId="6" borderId="1" xfId="0" applyNumberFormat="1" applyFont="1" applyFill="1" applyBorder="1" applyAlignment="1">
      <alignment horizontal="center" vertical="center" wrapText="1"/>
    </xf>
    <xf numFmtId="168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10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165" fontId="8" fillId="6" borderId="1" xfId="0" applyNumberFormat="1" applyFont="1" applyFill="1" applyBorder="1" applyAlignment="1">
      <alignment horizontal="center" vertical="center" wrapText="1"/>
    </xf>
    <xf numFmtId="165" fontId="4" fillId="6" borderId="1" xfId="0" applyNumberFormat="1" applyFont="1" applyFill="1" applyBorder="1" applyAlignment="1">
      <alignment horizontal="center" vertical="center" wrapText="1"/>
    </xf>
    <xf numFmtId="169" fontId="4" fillId="6" borderId="1" xfId="0" applyNumberFormat="1" applyFont="1" applyFill="1" applyBorder="1" applyAlignment="1">
      <alignment horizontal="center" vertical="center" wrapText="1"/>
    </xf>
    <xf numFmtId="170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168" fontId="8" fillId="6" borderId="1" xfId="0" applyNumberFormat="1" applyFont="1" applyFill="1" applyBorder="1" applyAlignment="1">
      <alignment horizontal="center" vertical="center" wrapText="1"/>
    </xf>
    <xf numFmtId="171" fontId="8" fillId="6" borderId="1" xfId="0" applyNumberFormat="1" applyFont="1" applyFill="1" applyBorder="1" applyAlignment="1">
      <alignment horizontal="center" vertical="center" wrapText="1"/>
    </xf>
    <xf numFmtId="3" fontId="4" fillId="6" borderId="1" xfId="0" applyNumberFormat="1" applyFont="1" applyFill="1" applyBorder="1" applyAlignment="1">
      <alignment horizontal="center" vertical="center" wrapText="1"/>
    </xf>
    <xf numFmtId="172" fontId="4" fillId="6" borderId="1" xfId="0" applyNumberFormat="1" applyFont="1" applyFill="1" applyBorder="1" applyAlignment="1">
      <alignment horizontal="center" vertical="center" wrapText="1"/>
    </xf>
    <xf numFmtId="173" fontId="8" fillId="6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168" fontId="4" fillId="6" borderId="1" xfId="0" applyNumberFormat="1" applyFont="1" applyFill="1" applyBorder="1" applyAlignment="1">
      <alignment horizontal="center" vertical="center" wrapText="1"/>
    </xf>
    <xf numFmtId="174" fontId="5" fillId="4" borderId="1" xfId="0" applyNumberFormat="1" applyFont="1" applyFill="1" applyBorder="1" applyAlignment="1" applyProtection="1">
      <alignment horizontal="left" vertical="center" wrapText="1"/>
      <protection locked="0"/>
    </xf>
    <xf numFmtId="3" fontId="8" fillId="6" borderId="1" xfId="0" applyNumberFormat="1" applyFont="1" applyFill="1" applyBorder="1" applyAlignment="1">
      <alignment horizontal="center" vertical="center" wrapText="1"/>
    </xf>
    <xf numFmtId="9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176" fontId="4" fillId="9" borderId="1" xfId="0" applyNumberFormat="1" applyFont="1" applyFill="1" applyBorder="1" applyAlignment="1">
      <alignment horizontal="center" vertical="center" wrapText="1"/>
    </xf>
    <xf numFmtId="177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167" fontId="8" fillId="6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left" vertical="center" wrapText="1"/>
    </xf>
    <xf numFmtId="178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9" borderId="0" xfId="0" applyFont="1" applyFill="1" applyAlignment="1">
      <alignment horizontal="left" vertical="center" wrapText="1"/>
    </xf>
    <xf numFmtId="172" fontId="15" fillId="6" borderId="1" xfId="0" applyNumberFormat="1" applyFont="1" applyFill="1" applyBorder="1" applyAlignment="1">
      <alignment horizontal="left" vertical="center" wrapText="1"/>
    </xf>
    <xf numFmtId="1" fontId="15" fillId="6" borderId="1" xfId="0" applyNumberFormat="1" applyFont="1" applyFill="1" applyBorder="1" applyAlignment="1">
      <alignment horizontal="left" vertical="center" wrapText="1"/>
    </xf>
    <xf numFmtId="165" fontId="15" fillId="6" borderId="1" xfId="0" applyNumberFormat="1" applyFont="1" applyFill="1" applyBorder="1" applyAlignment="1">
      <alignment horizontal="left" vertical="center" wrapText="1"/>
    </xf>
    <xf numFmtId="179" fontId="15" fillId="6" borderId="1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3" fillId="5" borderId="0" xfId="0" applyFont="1" applyFill="1" applyAlignment="1">
      <alignment vertical="center" wrapText="1" indent="1"/>
    </xf>
    <xf numFmtId="0" fontId="21" fillId="5" borderId="0" xfId="0" applyFont="1" applyFill="1" applyAlignment="1">
      <alignment horizontal="left" vertical="center" wrapText="1"/>
    </xf>
    <xf numFmtId="0" fontId="22" fillId="5" borderId="0" xfId="0" applyFont="1" applyFill="1" applyAlignment="1">
      <alignment horizontal="center" vertical="center" wrapText="1"/>
    </xf>
    <xf numFmtId="0" fontId="11" fillId="9" borderId="1" xfId="0" applyFont="1" applyFill="1" applyBorder="1" applyAlignment="1">
      <alignment horizontal="left" vertical="center" wrapText="1"/>
    </xf>
    <xf numFmtId="15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>
      <alignment vertical="center" wrapText="1" indent="1"/>
    </xf>
    <xf numFmtId="0" fontId="21" fillId="3" borderId="0" xfId="0" applyFont="1" applyFill="1" applyAlignment="1">
      <alignment horizontal="left" vertical="center" wrapText="1"/>
    </xf>
    <xf numFmtId="0" fontId="22" fillId="3" borderId="0" xfId="0" applyFont="1" applyFill="1" applyAlignment="1">
      <alignment horizontal="center" vertical="center" wrapText="1"/>
    </xf>
    <xf numFmtId="0" fontId="3" fillId="8" borderId="0" xfId="0" applyFont="1" applyFill="1" applyAlignment="1">
      <alignment vertical="center" wrapText="1" indent="1"/>
    </xf>
    <xf numFmtId="0" fontId="21" fillId="8" borderId="0" xfId="0" applyFont="1" applyFill="1" applyAlignment="1">
      <alignment horizontal="left" vertical="center" wrapText="1"/>
    </xf>
    <xf numFmtId="0" fontId="22" fillId="8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vertical="center" wrapText="1" indent="1"/>
    </xf>
    <xf numFmtId="0" fontId="21" fillId="7" borderId="0" xfId="0" applyFont="1" applyFill="1" applyAlignment="1">
      <alignment horizontal="left" vertical="center" wrapText="1"/>
    </xf>
    <xf numFmtId="0" fontId="22" fillId="7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0" fillId="0" borderId="0" xfId="0"/>
    <xf numFmtId="0" fontId="24" fillId="0" borderId="0" xfId="0" applyFont="1" applyAlignment="1">
      <alignment horizontal="right" vertical="center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0" fillId="4" borderId="1" xfId="0" applyFill="1" applyBorder="1"/>
    <xf numFmtId="0" fontId="3" fillId="2" borderId="0" xfId="0" applyFont="1" applyFill="1" applyAlignment="1">
      <alignment vertical="center" wrapText="1" indent="1"/>
    </xf>
    <xf numFmtId="0" fontId="0" fillId="2" borderId="0" xfId="0" applyFill="1"/>
    <xf numFmtId="0" fontId="2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4" borderId="1" xfId="0" applyFont="1" applyFill="1" applyBorder="1" applyAlignment="1" applyProtection="1">
      <alignment horizontal="left" vertical="top" wrapText="1"/>
      <protection locked="0"/>
    </xf>
    <xf numFmtId="0" fontId="1" fillId="2" borderId="0" xfId="0" applyFont="1" applyFill="1" applyAlignment="1">
      <alignment vertical="center" indent="1"/>
    </xf>
    <xf numFmtId="0" fontId="3" fillId="5" borderId="0" xfId="0" applyFont="1" applyFill="1" applyAlignment="1">
      <alignment vertical="center" indent="1"/>
    </xf>
    <xf numFmtId="0" fontId="0" fillId="5" borderId="0" xfId="0" applyFill="1"/>
    <xf numFmtId="0" fontId="2" fillId="3" borderId="0" xfId="0" applyFont="1" applyFill="1" applyAlignment="1">
      <alignment vertical="center" wrapText="1" indent="1"/>
    </xf>
    <xf numFmtId="0" fontId="0" fillId="3" borderId="0" xfId="0" applyFill="1"/>
    <xf numFmtId="0" fontId="3" fillId="2" borderId="0" xfId="0" applyFont="1" applyFill="1" applyAlignment="1">
      <alignment vertical="center" indent="1"/>
    </xf>
    <xf numFmtId="0" fontId="6" fillId="0" borderId="0" xfId="0" applyFont="1" applyAlignment="1">
      <alignment horizontal="left" vertical="top" wrapText="1"/>
    </xf>
    <xf numFmtId="0" fontId="12" fillId="0" borderId="1" xfId="0" applyFont="1" applyBorder="1" applyAlignment="1">
      <alignment horizontal="left" vertical="center" wrapText="1"/>
    </xf>
    <xf numFmtId="0" fontId="0" fillId="0" borderId="1" xfId="0" applyBorder="1"/>
    <xf numFmtId="0" fontId="9" fillId="8" borderId="0" xfId="0" applyFont="1" applyFill="1" applyAlignment="1">
      <alignment horizontal="center" vertical="center" wrapText="1"/>
    </xf>
    <xf numFmtId="0" fontId="0" fillId="8" borderId="0" xfId="0" applyFill="1"/>
    <xf numFmtId="0" fontId="10" fillId="6" borderId="1" xfId="0" applyFont="1" applyFill="1" applyBorder="1" applyAlignment="1">
      <alignment horizontal="left" vertical="top" wrapText="1"/>
    </xf>
    <xf numFmtId="0" fontId="0" fillId="6" borderId="1" xfId="0" applyFill="1" applyBorder="1"/>
    <xf numFmtId="0" fontId="10" fillId="6" borderId="0" xfId="0" applyFont="1" applyFill="1" applyAlignment="1">
      <alignment horizontal="left" vertical="top" wrapText="1"/>
    </xf>
    <xf numFmtId="0" fontId="0" fillId="6" borderId="0" xfId="0" applyFill="1"/>
    <xf numFmtId="0" fontId="11" fillId="9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 wrapText="1"/>
    </xf>
    <xf numFmtId="0" fontId="0" fillId="7" borderId="0" xfId="0" applyFill="1"/>
    <xf numFmtId="0" fontId="5" fillId="4" borderId="1" xfId="0" applyFont="1" applyFill="1" applyBorder="1" applyAlignment="1" applyProtection="1">
      <alignment horizontal="left" vertical="center" wrapText="1"/>
      <protection locked="0"/>
    </xf>
    <xf numFmtId="0" fontId="3" fillId="3" borderId="0" xfId="0" applyFont="1" applyFill="1" applyAlignment="1">
      <alignment vertical="center" indent="1"/>
    </xf>
    <xf numFmtId="0" fontId="4" fillId="9" borderId="0" xfId="0" applyFont="1" applyFill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3" fillId="8" borderId="0" xfId="0" applyFont="1" applyFill="1" applyAlignment="1">
      <alignment vertical="center" indent="1"/>
    </xf>
    <xf numFmtId="0" fontId="15" fillId="6" borderId="1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horizontal="left" vertical="center" wrapText="1"/>
    </xf>
    <xf numFmtId="0" fontId="20" fillId="6" borderId="1" xfId="0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3" fillId="7" borderId="0" xfId="0" applyFont="1" applyFill="1" applyAlignment="1">
      <alignment vertical="center" indent="1"/>
    </xf>
    <xf numFmtId="0" fontId="4" fillId="6" borderId="1" xfId="0" applyFont="1" applyFill="1" applyBorder="1" applyAlignment="1">
      <alignment horizontal="center" vertical="center" wrapText="1"/>
    </xf>
    <xf numFmtId="172" fontId="4" fillId="6" borderId="1" xfId="0" applyNumberFormat="1" applyFont="1" applyFill="1" applyBorder="1" applyAlignment="1">
      <alignment horizontal="center" vertical="center" wrapText="1"/>
    </xf>
    <xf numFmtId="175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Protection="1">
      <protection locked="0"/>
    </xf>
    <xf numFmtId="165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left" vertical="top" wrapText="1"/>
    </xf>
    <xf numFmtId="179" fontId="4" fillId="6" borderId="1" xfId="0" applyNumberFormat="1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left"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left" vertical="center" wrapText="1"/>
    </xf>
    <xf numFmtId="0" fontId="11" fillId="9" borderId="0" xfId="0" applyFont="1" applyFill="1" applyAlignment="1">
      <alignment horizontal="left" vertical="center" wrapText="1"/>
    </xf>
    <xf numFmtId="0" fontId="0" fillId="9" borderId="0" xfId="0" applyFill="1"/>
    <xf numFmtId="0" fontId="23" fillId="6" borderId="0" xfId="0" applyFont="1" applyFill="1" applyAlignment="1">
      <alignment horizontal="left" vertical="top" wrapText="1"/>
    </xf>
  </cellXfs>
  <cellStyles count="1">
    <cellStyle name="Normal" xfId="0" builtinId="0"/>
  </cellStyles>
  <dxfs count="19">
    <dxf>
      <fill>
        <patternFill patternType="solid">
          <fgColor rgb="FFF8C9B5"/>
          <bgColor rgb="FFF8C9B5"/>
        </patternFill>
      </fill>
    </dxf>
    <dxf>
      <fill>
        <patternFill patternType="solid">
          <fgColor rgb="FFFDD09E"/>
          <bgColor rgb="FFFDD09E"/>
        </patternFill>
      </fill>
    </dxf>
    <dxf>
      <fill>
        <patternFill patternType="solid">
          <fgColor rgb="FFCDEFD3"/>
          <bgColor rgb="FFCDEFD3"/>
        </patternFill>
      </fill>
    </dxf>
    <dxf>
      <fill>
        <patternFill patternType="solid">
          <fgColor rgb="FFF8C9B5"/>
          <bgColor rgb="FFF8C9B5"/>
        </patternFill>
      </fill>
    </dxf>
    <dxf>
      <fill>
        <patternFill patternType="solid">
          <fgColor rgb="FFFDD09E"/>
          <bgColor rgb="FFFDD09E"/>
        </patternFill>
      </fill>
    </dxf>
    <dxf>
      <fill>
        <patternFill patternType="solid">
          <fgColor rgb="FFCDEFD3"/>
          <bgColor rgb="FFCDEFD3"/>
        </patternFill>
      </fill>
    </dxf>
    <dxf>
      <fill>
        <patternFill patternType="solid">
          <fgColor rgb="FFF8C9B5"/>
          <bgColor rgb="FFF8C9B5"/>
        </patternFill>
      </fill>
    </dxf>
    <dxf>
      <fill>
        <patternFill patternType="solid">
          <fgColor rgb="FFFDD09E"/>
          <bgColor rgb="FFFDD09E"/>
        </patternFill>
      </fill>
    </dxf>
    <dxf>
      <fill>
        <patternFill patternType="solid">
          <fgColor rgb="FFCDEFD3"/>
          <bgColor rgb="FFCDEFD3"/>
        </patternFill>
      </fill>
    </dxf>
    <dxf>
      <fill>
        <patternFill patternType="solid">
          <fgColor rgb="FFF8C9B5"/>
          <bgColor rgb="FFF8C9B5"/>
        </patternFill>
      </fill>
    </dxf>
    <dxf>
      <fill>
        <patternFill patternType="solid">
          <fgColor rgb="FFD3ECEB"/>
          <bgColor rgb="FFD3ECEB"/>
        </patternFill>
      </fill>
    </dxf>
    <dxf>
      <fill>
        <patternFill patternType="solid">
          <fgColor rgb="FFFDD09E"/>
          <bgColor rgb="FFFDD09E"/>
        </patternFill>
      </fill>
    </dxf>
    <dxf>
      <fill>
        <patternFill patternType="solid">
          <fgColor rgb="FFCDEFD3"/>
          <bgColor rgb="FFCDEFD3"/>
        </patternFill>
      </fill>
    </dxf>
    <dxf>
      <fill>
        <patternFill patternType="solid">
          <fgColor rgb="FFCDEFD3"/>
          <bgColor rgb="FFCDEFD3"/>
        </patternFill>
      </fill>
    </dxf>
    <dxf>
      <fill>
        <patternFill patternType="solid">
          <fgColor rgb="FFFDD09E"/>
          <bgColor rgb="FFFDD09E"/>
        </patternFill>
      </fill>
    </dxf>
    <dxf>
      <font>
        <b/>
        <color rgb="FFB3261E"/>
        <name val="Arial"/>
      </font>
      <fill>
        <patternFill patternType="solid">
          <fgColor rgb="FFF8C9B5"/>
          <bgColor rgb="FFF8C9B5"/>
        </patternFill>
      </fill>
    </dxf>
    <dxf>
      <fill>
        <patternFill patternType="solid">
          <fgColor rgb="FFF8C9B5"/>
          <bgColor rgb="FFF8C9B5"/>
        </patternFill>
      </fill>
    </dxf>
    <dxf>
      <fill>
        <patternFill patternType="solid">
          <fgColor rgb="FFCDEFD3"/>
          <bgColor rgb="FFCDEFD3"/>
        </patternFill>
      </fill>
    </dxf>
    <dxf>
      <fill>
        <patternFill patternType="solid">
          <fgColor rgb="FFCDEFD3"/>
          <bgColor rgb="FFCDEFD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447925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25F62"/>
    <pageSetUpPr fitToPage="1"/>
  </sheetPr>
  <dimension ref="B1:G31"/>
  <sheetViews>
    <sheetView showGridLines="0" tabSelected="1" workbookViewId="0">
      <selection activeCell="D28" sqref="D28"/>
    </sheetView>
  </sheetViews>
  <sheetFormatPr defaultRowHeight="14.4" x14ac:dyDescent="0.3"/>
  <cols>
    <col min="1" max="1" width="2" customWidth="1"/>
    <col min="2" max="2" width="6" customWidth="1"/>
    <col min="3" max="3" width="30" customWidth="1"/>
    <col min="4" max="4" width="22" customWidth="1"/>
    <col min="5" max="5" width="46" customWidth="1"/>
    <col min="6" max="6" width="13" customWidth="1"/>
    <col min="7" max="7" width="12" customWidth="1"/>
  </cols>
  <sheetData>
    <row r="1" spans="2:7" ht="10.050000000000001" customHeight="1" x14ac:dyDescent="0.3"/>
    <row r="2" spans="2:7" ht="18" customHeight="1" x14ac:dyDescent="0.3">
      <c r="E2" s="92" t="s">
        <v>0</v>
      </c>
      <c r="F2" s="91"/>
      <c r="G2" s="91"/>
    </row>
    <row r="3" spans="2:7" ht="18" customHeight="1" x14ac:dyDescent="0.3">
      <c r="E3" s="91"/>
      <c r="F3" s="91"/>
      <c r="G3" s="91"/>
    </row>
    <row r="4" spans="2:7" ht="18" customHeight="1" x14ac:dyDescent="0.3">
      <c r="E4" s="98" t="s">
        <v>1</v>
      </c>
      <c r="F4" s="91"/>
      <c r="G4" s="91"/>
    </row>
    <row r="5" spans="2:7" ht="18" customHeight="1" x14ac:dyDescent="0.3">
      <c r="E5" s="91"/>
      <c r="F5" s="91"/>
      <c r="G5" s="91"/>
    </row>
    <row r="6" spans="2:7" ht="18" customHeight="1" x14ac:dyDescent="0.3">
      <c r="E6" s="99" t="s">
        <v>2</v>
      </c>
      <c r="F6" s="91"/>
      <c r="G6" s="91"/>
    </row>
    <row r="8" spans="2:7" ht="34.049999999999997" customHeight="1" x14ac:dyDescent="0.3">
      <c r="B8" s="96" t="s">
        <v>3</v>
      </c>
      <c r="C8" s="97"/>
      <c r="D8" s="97"/>
      <c r="E8" s="97"/>
      <c r="F8" s="97"/>
      <c r="G8" s="97"/>
    </row>
    <row r="10" spans="2:7" x14ac:dyDescent="0.3">
      <c r="B10" s="90" t="s">
        <v>4</v>
      </c>
      <c r="C10" s="91"/>
      <c r="D10" s="91"/>
    </row>
    <row r="11" spans="2:7" x14ac:dyDescent="0.3">
      <c r="B11" s="95"/>
      <c r="C11" s="93" t="s">
        <v>5</v>
      </c>
      <c r="D11" s="91"/>
      <c r="E11" s="91"/>
      <c r="F11" s="91"/>
      <c r="G11" s="91"/>
    </row>
    <row r="12" spans="2:7" ht="28.05" customHeight="1" x14ac:dyDescent="0.3">
      <c r="B12" s="2"/>
      <c r="C12" s="93" t="s">
        <v>6</v>
      </c>
      <c r="D12" s="91"/>
      <c r="E12" s="91"/>
      <c r="F12" s="91"/>
      <c r="G12" s="91"/>
    </row>
    <row r="13" spans="2:7" ht="40.049999999999997" customHeight="1" x14ac:dyDescent="0.3">
      <c r="C13" s="93" t="s">
        <v>7</v>
      </c>
      <c r="D13" s="91"/>
      <c r="E13" s="91"/>
      <c r="F13" s="91"/>
      <c r="G13" s="91"/>
    </row>
    <row r="15" spans="2:7" x14ac:dyDescent="0.3">
      <c r="B15" s="90" t="s">
        <v>8</v>
      </c>
      <c r="C15" s="91"/>
      <c r="D15" s="91"/>
    </row>
    <row r="16" spans="2:7" x14ac:dyDescent="0.3">
      <c r="B16" s="3" t="s">
        <v>9</v>
      </c>
      <c r="C16" s="3" t="s">
        <v>10</v>
      </c>
      <c r="D16" s="3" t="s">
        <v>11</v>
      </c>
      <c r="E16" s="3" t="s">
        <v>12</v>
      </c>
      <c r="F16" s="3" t="s">
        <v>13</v>
      </c>
      <c r="G16" s="3" t="s">
        <v>14</v>
      </c>
    </row>
    <row r="17" spans="2:7" ht="24" customHeight="1" x14ac:dyDescent="0.3">
      <c r="B17" s="4" t="s">
        <v>15</v>
      </c>
      <c r="C17" s="5" t="s">
        <v>16</v>
      </c>
      <c r="D17" s="6" t="s">
        <v>17</v>
      </c>
      <c r="E17" s="7" t="s">
        <v>18</v>
      </c>
      <c r="F17" s="8">
        <f>COUNTA('1 Mi Ficha'!C6,'1 Mi Ficha'!C7,'1 Mi Ficha'!C8,'1 Mi Ficha'!C9,'1 Mi Ficha'!C10,'1 Mi Ficha'!C11,'1 Mi Ficha'!C12,'1 Mi Ficha'!C13,'1 Mi Ficha'!C16,'1 Mi Ficha'!C21)/10</f>
        <v>0.1</v>
      </c>
      <c r="G17" s="9" t="str">
        <f t="shared" ref="G17:G26" si="0">IF(F17&gt;=0.8,"✔ Completada","")</f>
        <v/>
      </c>
    </row>
    <row r="18" spans="2:7" ht="24" customHeight="1" x14ac:dyDescent="0.3">
      <c r="B18" s="10" t="s">
        <v>19</v>
      </c>
      <c r="C18" s="5" t="s">
        <v>20</v>
      </c>
      <c r="D18" s="6" t="s">
        <v>21</v>
      </c>
      <c r="E18" s="7" t="s">
        <v>22</v>
      </c>
      <c r="F18" s="8">
        <f>COUNTA('2 Canvas'!B7,'2 Canvas'!D7,'2 Canvas'!D14,'2 Canvas'!F7,'2 Canvas'!H7,'2 Canvas'!H14,'2 Canvas'!J7,'2 Canvas'!B23,'2 Canvas'!G23,'2 Canvas'!B31)/10</f>
        <v>0</v>
      </c>
      <c r="G18" s="9" t="str">
        <f t="shared" si="0"/>
        <v/>
      </c>
    </row>
    <row r="19" spans="2:7" ht="24" customHeight="1" x14ac:dyDescent="0.3">
      <c r="B19" s="10" t="s">
        <v>19</v>
      </c>
      <c r="C19" s="5" t="s">
        <v>20</v>
      </c>
      <c r="D19" s="6" t="s">
        <v>23</v>
      </c>
      <c r="E19" s="7" t="s">
        <v>24</v>
      </c>
      <c r="F19" s="8">
        <f>COUNTA('3 Propuesta y Filtro'!C6,'3 Propuesta y Filtro'!C7,'3 Propuesta y Filtro'!C8,'3 Propuesta y Filtro'!C9,'3 Propuesta y Filtro'!C10,'3 Propuesta y Filtro'!C15,'3 Propuesta y Filtro'!C16,'3 Propuesta y Filtro'!C17,'3 Propuesta y Filtro'!C18,'3 Propuesta y Filtro'!C21,'3 Propuesta y Filtro'!B23,'3 Propuesta y Filtro'!B24,'3 Propuesta y Filtro'!B25,'3 Propuesta y Filtro'!B26,'3 Propuesta y Filtro'!B27,'3 Propuesta y Filtro'!B32,'3 Propuesta y Filtro'!E32,'3 Propuesta y Filtro'!B37,'3 Propuesta y Filtro'!E37)/19</f>
        <v>0</v>
      </c>
      <c r="G19" s="9" t="str">
        <f t="shared" si="0"/>
        <v/>
      </c>
    </row>
    <row r="20" spans="2:7" ht="24" customHeight="1" x14ac:dyDescent="0.3">
      <c r="B20" s="11" t="s">
        <v>25</v>
      </c>
      <c r="C20" s="5" t="s">
        <v>26</v>
      </c>
      <c r="D20" s="6" t="s">
        <v>27</v>
      </c>
      <c r="E20" s="7" t="s">
        <v>28</v>
      </c>
      <c r="F20" s="8">
        <f>COUNTA('4 Validación'!B7,'4 Validación'!C14,'4 Validación'!C15,'4 Validación'!C16,'4 Validación'!C17,'4 Validación'!C18,'4 Validación'!C21,'4 Validación'!C22,'4 Validación'!C23,'4 Validación'!C24,'4 Validación'!C25)/11</f>
        <v>0</v>
      </c>
      <c r="G20" s="9" t="str">
        <f t="shared" si="0"/>
        <v/>
      </c>
    </row>
    <row r="21" spans="2:7" ht="24" customHeight="1" x14ac:dyDescent="0.3">
      <c r="B21" s="12" t="s">
        <v>29</v>
      </c>
      <c r="C21" s="5" t="s">
        <v>30</v>
      </c>
      <c r="D21" s="6" t="s">
        <v>31</v>
      </c>
      <c r="E21" s="7" t="s">
        <v>32</v>
      </c>
      <c r="F21" s="8">
        <f>COUNTA('5 Realidad PR'!F7,'5 Realidad PR'!C28)/2</f>
        <v>0</v>
      </c>
      <c r="G21" s="9" t="str">
        <f t="shared" si="0"/>
        <v/>
      </c>
    </row>
    <row r="22" spans="2:7" ht="24" customHeight="1" x14ac:dyDescent="0.3">
      <c r="B22" s="13" t="s">
        <v>33</v>
      </c>
      <c r="C22" s="5" t="s">
        <v>34</v>
      </c>
      <c r="D22" s="6" t="s">
        <v>35</v>
      </c>
      <c r="E22" s="7" t="s">
        <v>36</v>
      </c>
      <c r="F22" s="8">
        <f>IF(Tipo="OSFL",(COUNTA('6 Números'!C8)+COUNTA('6 Números'!C63))/2,(COUNTA('6 Números'!C8)+COUNTA('6 Números'!C48))/2)</f>
        <v>0</v>
      </c>
      <c r="G22" s="9" t="str">
        <f t="shared" si="0"/>
        <v/>
      </c>
    </row>
    <row r="23" spans="2:7" ht="24" customHeight="1" x14ac:dyDescent="0.3">
      <c r="B23" s="13" t="s">
        <v>33</v>
      </c>
      <c r="C23" s="5" t="s">
        <v>34</v>
      </c>
      <c r="D23" s="6" t="s">
        <v>37</v>
      </c>
      <c r="E23" s="7" t="s">
        <v>38</v>
      </c>
      <c r="F23" s="8">
        <f>MIN(1,(COUNT('7 Flujo de Caja'!C9:N14)+COUNT('7 Flujo de Caja'!C17:N24))/12)</f>
        <v>0</v>
      </c>
      <c r="G23" s="9" t="str">
        <f t="shared" si="0"/>
        <v/>
      </c>
    </row>
    <row r="24" spans="2:7" ht="24" customHeight="1" x14ac:dyDescent="0.3">
      <c r="B24" s="13" t="s">
        <v>33</v>
      </c>
      <c r="C24" s="5" t="s">
        <v>34</v>
      </c>
      <c r="D24" s="6" t="s">
        <v>39</v>
      </c>
      <c r="E24" s="7" t="s">
        <v>40</v>
      </c>
      <c r="F24" s="8">
        <f>COUNTA('8 Mapa de Decisiones'!B8)/1</f>
        <v>0</v>
      </c>
      <c r="G24" s="9" t="str">
        <f t="shared" si="0"/>
        <v/>
      </c>
    </row>
    <row r="25" spans="2:7" ht="24" customHeight="1" x14ac:dyDescent="0.3">
      <c r="B25" s="14" t="s">
        <v>41</v>
      </c>
      <c r="C25" s="5" t="s">
        <v>42</v>
      </c>
      <c r="D25" s="6" t="s">
        <v>43</v>
      </c>
      <c r="E25" s="7" t="s">
        <v>44</v>
      </c>
      <c r="F25" s="8">
        <f>COUNTA('9 Plan 90 Días'!C6,'9 Plan 90 Días'!C9,'9 Plan 90 Días'!B16,'9 Plan 90 Días'!C29,'9 Plan 90 Días'!C33)/5</f>
        <v>0</v>
      </c>
      <c r="G25" s="9" t="str">
        <f t="shared" si="0"/>
        <v/>
      </c>
    </row>
    <row r="26" spans="2:7" ht="24" customHeight="1" x14ac:dyDescent="0.3">
      <c r="B26" s="14" t="s">
        <v>41</v>
      </c>
      <c r="C26" s="5" t="s">
        <v>42</v>
      </c>
      <c r="D26" s="6" t="s">
        <v>45</v>
      </c>
      <c r="E26" s="7" t="s">
        <v>46</v>
      </c>
      <c r="F26" s="8">
        <f>COUNTA('11 Resumen Ejecutivo'!C6,'11 Resumen Ejecutivo'!C7,'11 Resumen Ejecutivo'!C8,'11 Resumen Ejecutivo'!C9,'11 Resumen Ejecutivo'!C24)/5</f>
        <v>0</v>
      </c>
      <c r="G26" s="9" t="str">
        <f t="shared" si="0"/>
        <v/>
      </c>
    </row>
    <row r="27" spans="2:7" ht="24" customHeight="1" x14ac:dyDescent="0.3">
      <c r="B27" s="12" t="s">
        <v>47</v>
      </c>
      <c r="C27" s="5" t="s">
        <v>48</v>
      </c>
      <c r="D27" s="6" t="s">
        <v>49</v>
      </c>
      <c r="E27" s="7" t="s">
        <v>50</v>
      </c>
      <c r="F27" s="8">
        <f>AVERAGE(F17:F26)</f>
        <v>0.01</v>
      </c>
      <c r="G27" s="9" t="str">
        <f>IF(F27&gt;=0.8,"✔ Plan listo","")</f>
        <v/>
      </c>
    </row>
    <row r="28" spans="2:7" ht="24" customHeight="1" x14ac:dyDescent="0.3">
      <c r="B28" s="4" t="s">
        <v>51</v>
      </c>
      <c r="C28" s="5" t="s">
        <v>52</v>
      </c>
      <c r="D28" s="6" t="s">
        <v>53</v>
      </c>
      <c r="E28" s="7" t="s">
        <v>54</v>
      </c>
      <c r="F28" s="8">
        <f>COUNTIF('12 Guía del Plan Formal'!C8:C120,"Lo tengo")/48</f>
        <v>0</v>
      </c>
      <c r="G28" s="9" t="str">
        <f>IF(F28&gt;=0.8,"✔ Completada","")</f>
        <v/>
      </c>
    </row>
    <row r="30" spans="2:7" ht="24" customHeight="1" x14ac:dyDescent="0.3">
      <c r="B30" s="94" t="s">
        <v>55</v>
      </c>
      <c r="C30" s="91"/>
      <c r="D30" s="91"/>
      <c r="E30" s="91"/>
      <c r="F30" s="91"/>
      <c r="G30" s="91"/>
    </row>
    <row r="31" spans="2:7" ht="18" customHeight="1" x14ac:dyDescent="0.3">
      <c r="B31" s="91"/>
      <c r="C31" s="91"/>
      <c r="D31" s="91"/>
      <c r="E31" s="91"/>
      <c r="F31" s="91"/>
      <c r="G31" s="91"/>
    </row>
  </sheetData>
  <sheetProtection sheet="1" formatCells="0" formatColumns="0" formatRows="0"/>
  <mergeCells count="11">
    <mergeCell ref="B10:D10"/>
    <mergeCell ref="E2:G3"/>
    <mergeCell ref="C12:G12"/>
    <mergeCell ref="B30:G31"/>
    <mergeCell ref="B11"/>
    <mergeCell ref="B8:G8"/>
    <mergeCell ref="C11:G11"/>
    <mergeCell ref="E4:G5"/>
    <mergeCell ref="B15:D15"/>
    <mergeCell ref="C13:G13"/>
    <mergeCell ref="E6:G6"/>
  </mergeCells>
  <conditionalFormatting sqref="F17:F28">
    <cfRule type="cellIs" dxfId="18" priority="1" operator="greaterThanOrEqual">
      <formula>0.8</formula>
    </cfRule>
  </conditionalFormatting>
  <hyperlinks>
    <hyperlink ref="D17" location="'1 Mi Ficha'!A1" display="1 Mi Ficha" xr:uid="{00000000-0004-0000-0000-000000000000}"/>
    <hyperlink ref="D18" location="'2 Canvas'!A1" display="2 Canvas" xr:uid="{00000000-0004-0000-0000-000001000000}"/>
    <hyperlink ref="D19" location="'3 Propuesta y Filtro'!A1" display="3 Propuesta y Filtro" xr:uid="{00000000-0004-0000-0000-000002000000}"/>
    <hyperlink ref="D20" location="'4 Validación'!A1" display="4 Validación" xr:uid="{00000000-0004-0000-0000-000003000000}"/>
    <hyperlink ref="D21" location="'5 Realidad PR'!A1" display="5 Realidad PR" xr:uid="{00000000-0004-0000-0000-000004000000}"/>
    <hyperlink ref="D22" location="'6 Números'!A1" display="6 Números" xr:uid="{00000000-0004-0000-0000-000005000000}"/>
    <hyperlink ref="D23" location="'7 Flujo de Caja'!A1" display="7 Flujo de Caja" xr:uid="{00000000-0004-0000-0000-000006000000}"/>
    <hyperlink ref="D24" location="'8 Mapa de Decisiones'!A1" display="8 Mapa de Decisiones" xr:uid="{00000000-0004-0000-0000-000007000000}"/>
    <hyperlink ref="D25" location="'9 Plan 90 Días'!A1" display="9 Plan 90 Días" xr:uid="{00000000-0004-0000-0000-000008000000}"/>
    <hyperlink ref="D26" location="'11 Resumen Ejecutivo'!A1" display="11 Resumen Ejecutivo" xr:uid="{00000000-0004-0000-0000-000009000000}"/>
    <hyperlink ref="D27" location="'10 Plan en 1 Página'!A1" display="10 Plan en 1 Página" xr:uid="{00000000-0004-0000-0000-00000A000000}"/>
    <hyperlink ref="D28" location="'12 Guía del Plan Formal'!A1" display="12 Guía del Plan Formal" xr:uid="{00000000-0004-0000-0000-00000B000000}"/>
  </hyperlinks>
  <pageMargins left="0.4" right="0.4" top="0.5" bottom="0.5" header="0.5" footer="0.5"/>
  <pageSetup orientation="portrait"/>
  <headerFooter>
    <oddFooter>&amp;C&amp;8 Mi Plan de Negocio Preliminar · Asesores Financieros Comunitarios, Inc. · 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DD7C3"/>
    <pageSetUpPr fitToPage="1"/>
  </sheetPr>
  <dimension ref="B1:F27"/>
  <sheetViews>
    <sheetView showGridLines="0" workbookViewId="0"/>
  </sheetViews>
  <sheetFormatPr defaultRowHeight="14.4" x14ac:dyDescent="0.3"/>
  <cols>
    <col min="1" max="1" width="2" customWidth="1"/>
    <col min="2" max="2" width="30" customWidth="1"/>
    <col min="3" max="3" width="34" customWidth="1"/>
    <col min="4" max="4" width="4" customWidth="1"/>
    <col min="5" max="5" width="40" customWidth="1"/>
    <col min="6" max="6" width="4" customWidth="1"/>
  </cols>
  <sheetData>
    <row r="1" spans="2:6" ht="7.95" customHeight="1" x14ac:dyDescent="0.3"/>
    <row r="2" spans="2:6" ht="30" customHeight="1" x14ac:dyDescent="0.3">
      <c r="B2" s="101" t="s">
        <v>56</v>
      </c>
      <c r="C2" s="97"/>
      <c r="D2" s="97"/>
      <c r="E2" s="97"/>
      <c r="F2" s="97"/>
    </row>
    <row r="3" spans="2:6" ht="22.05" customHeight="1" x14ac:dyDescent="0.3">
      <c r="B3" s="104" t="s">
        <v>57</v>
      </c>
      <c r="C3" s="105"/>
      <c r="D3" s="105"/>
      <c r="E3" s="105"/>
      <c r="F3" s="105"/>
    </row>
    <row r="5" spans="2:6" ht="19.95" customHeight="1" x14ac:dyDescent="0.3">
      <c r="B5" s="106" t="s">
        <v>58</v>
      </c>
      <c r="C5" s="97"/>
      <c r="D5" s="97"/>
      <c r="E5" s="97"/>
      <c r="F5" s="97"/>
    </row>
    <row r="6" spans="2:6" ht="24" customHeight="1" x14ac:dyDescent="0.3">
      <c r="B6" s="16" t="s">
        <v>59</v>
      </c>
      <c r="C6" s="17"/>
      <c r="E6" s="18" t="s">
        <v>60</v>
      </c>
    </row>
    <row r="7" spans="2:6" ht="24" customHeight="1" x14ac:dyDescent="0.3">
      <c r="B7" s="16" t="s">
        <v>61</v>
      </c>
      <c r="C7" s="19" t="s">
        <v>62</v>
      </c>
      <c r="E7" s="18" t="s">
        <v>63</v>
      </c>
    </row>
    <row r="8" spans="2:6" ht="24" customHeight="1" x14ac:dyDescent="0.3">
      <c r="B8" s="16" t="s">
        <v>64</v>
      </c>
      <c r="C8" s="17"/>
      <c r="E8" s="18" t="s">
        <v>65</v>
      </c>
    </row>
    <row r="9" spans="2:6" ht="24" customHeight="1" x14ac:dyDescent="0.3">
      <c r="B9" s="16" t="s">
        <v>10</v>
      </c>
      <c r="C9" s="17"/>
      <c r="E9" s="18" t="s">
        <v>66</v>
      </c>
    </row>
    <row r="10" spans="2:6" ht="24" customHeight="1" x14ac:dyDescent="0.3">
      <c r="B10" s="16" t="s">
        <v>67</v>
      </c>
      <c r="C10" s="17"/>
      <c r="E10" s="18" t="s">
        <v>68</v>
      </c>
    </row>
    <row r="11" spans="2:6" ht="24" customHeight="1" x14ac:dyDescent="0.3">
      <c r="B11" s="16" t="s">
        <v>69</v>
      </c>
      <c r="C11" s="17"/>
      <c r="E11" s="18" t="s">
        <v>70</v>
      </c>
    </row>
    <row r="12" spans="2:6" ht="24" customHeight="1" x14ac:dyDescent="0.3">
      <c r="B12" s="16" t="s">
        <v>71</v>
      </c>
      <c r="C12" s="17"/>
      <c r="E12" s="18" t="s">
        <v>72</v>
      </c>
    </row>
    <row r="13" spans="2:6" ht="24" customHeight="1" x14ac:dyDescent="0.3">
      <c r="B13" s="16" t="s">
        <v>73</v>
      </c>
      <c r="C13" s="20"/>
      <c r="E13" s="18" t="s">
        <v>74</v>
      </c>
    </row>
    <row r="15" spans="2:6" ht="19.95" customHeight="1" x14ac:dyDescent="0.3">
      <c r="B15" s="102" t="s">
        <v>75</v>
      </c>
      <c r="C15" s="103"/>
      <c r="D15" s="103"/>
      <c r="E15" s="103"/>
      <c r="F15" s="103"/>
    </row>
    <row r="16" spans="2:6" ht="22.05" customHeight="1" x14ac:dyDescent="0.3">
      <c r="B16" s="1" t="s">
        <v>76</v>
      </c>
      <c r="C16" s="100"/>
      <c r="D16" s="100"/>
      <c r="E16" s="100"/>
    </row>
    <row r="17" spans="2:5" ht="22.05" customHeight="1" x14ac:dyDescent="0.3">
      <c r="C17" s="100"/>
      <c r="D17" s="100"/>
      <c r="E17" s="100"/>
    </row>
    <row r="18" spans="2:5" ht="22.05" customHeight="1" x14ac:dyDescent="0.3">
      <c r="C18" s="100"/>
      <c r="D18" s="100"/>
      <c r="E18" s="100"/>
    </row>
    <row r="19" spans="2:5" ht="22.05" customHeight="1" x14ac:dyDescent="0.3">
      <c r="C19" s="100"/>
      <c r="D19" s="100"/>
      <c r="E19" s="100"/>
    </row>
    <row r="21" spans="2:5" ht="22.05" customHeight="1" x14ac:dyDescent="0.3">
      <c r="B21" s="1" t="s">
        <v>77</v>
      </c>
      <c r="C21" s="100"/>
      <c r="D21" s="100"/>
      <c r="E21" s="100"/>
    </row>
    <row r="22" spans="2:5" ht="22.05" customHeight="1" x14ac:dyDescent="0.3">
      <c r="C22" s="100"/>
      <c r="D22" s="100"/>
      <c r="E22" s="100"/>
    </row>
    <row r="23" spans="2:5" ht="22.05" customHeight="1" x14ac:dyDescent="0.3">
      <c r="C23" s="100"/>
      <c r="D23" s="100"/>
      <c r="E23" s="100"/>
    </row>
    <row r="24" spans="2:5" ht="22.05" customHeight="1" x14ac:dyDescent="0.3">
      <c r="C24" s="100"/>
      <c r="D24" s="100"/>
      <c r="E24" s="100"/>
    </row>
    <row r="26" spans="2:5" ht="30" customHeight="1" x14ac:dyDescent="0.3">
      <c r="B26" s="107" t="s">
        <v>78</v>
      </c>
      <c r="C26" s="91"/>
      <c r="D26" s="91"/>
      <c r="E26" s="91"/>
    </row>
    <row r="27" spans="2:5" x14ac:dyDescent="0.3">
      <c r="B27" s="91"/>
      <c r="C27" s="91"/>
      <c r="D27" s="91"/>
      <c r="E27" s="91"/>
    </row>
  </sheetData>
  <sheetProtection sheet="1" formatCells="0" formatColumns="0" formatRows="0"/>
  <mergeCells count="7">
    <mergeCell ref="B26:E27"/>
    <mergeCell ref="C21:E24"/>
    <mergeCell ref="B2:F2"/>
    <mergeCell ref="B15:F15"/>
    <mergeCell ref="B3:F3"/>
    <mergeCell ref="B5:F5"/>
    <mergeCell ref="C16:E19"/>
  </mergeCells>
  <dataValidations count="2">
    <dataValidation type="list" allowBlank="1" errorTitle="Opción no válida" error="Escoge una opción de la lista." sqref="C7" xr:uid="{00000000-0002-0000-0100-000000000000}">
      <formula1>"PyME,OSFL"</formula1>
    </dataValidation>
    <dataValidation type="list" allowBlank="1" errorTitle="Opción no válida" error="Escoge una opción de la lista." sqref="C9" xr:uid="{00000000-0002-0000-0100-000001000000}">
      <formula1>"Idea,Arrancando (menos de 2 años),Operando y estable,Creciendo o lanzando nueva línea"</formula1>
    </dataValidation>
  </dataValidations>
  <pageMargins left="0.4" right="0.4" top="0.5" bottom="0.5" header="0.5" footer="0.5"/>
  <pageSetup fitToHeight="0" orientation="portrait"/>
  <headerFooter>
    <oddFooter>&amp;C&amp;8 Mi Plan de Negocio Preliminar · Asesores Financieros Comunitarios, Inc. · 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26524"/>
  </sheetPr>
  <dimension ref="B1:K49"/>
  <sheetViews>
    <sheetView showGridLines="0" workbookViewId="0"/>
  </sheetViews>
  <sheetFormatPr defaultRowHeight="14.4" x14ac:dyDescent="0.3"/>
  <cols>
    <col min="1" max="1" width="2" customWidth="1"/>
    <col min="2" max="11" width="15.44140625" customWidth="1"/>
  </cols>
  <sheetData>
    <row r="1" spans="2:11" ht="7.95" customHeight="1" x14ac:dyDescent="0.3"/>
    <row r="2" spans="2:11" ht="30" customHeight="1" x14ac:dyDescent="0.3">
      <c r="B2" s="101" t="s">
        <v>79</v>
      </c>
      <c r="C2" s="97"/>
      <c r="D2" s="97"/>
      <c r="E2" s="97"/>
      <c r="F2" s="97"/>
      <c r="G2" s="97"/>
      <c r="H2" s="97"/>
      <c r="I2" s="97"/>
      <c r="J2" s="97"/>
      <c r="K2" s="97"/>
    </row>
    <row r="3" spans="2:11" ht="22.05" customHeight="1" x14ac:dyDescent="0.3">
      <c r="B3" s="104" t="s">
        <v>80</v>
      </c>
      <c r="C3" s="105"/>
      <c r="D3" s="105"/>
      <c r="E3" s="105"/>
      <c r="F3" s="105"/>
      <c r="G3" s="105"/>
      <c r="H3" s="105"/>
      <c r="I3" s="105"/>
      <c r="J3" s="105"/>
      <c r="K3" s="105"/>
    </row>
    <row r="5" spans="2:11" x14ac:dyDescent="0.3">
      <c r="B5" s="117" t="str">
        <f>IF(Tipo="OSFL","8 · Socios y partes interesadas","8 · Socios clave")</f>
        <v>8 · Socios clave</v>
      </c>
      <c r="C5" s="97"/>
      <c r="D5" s="119" t="str">
        <f>IF(Tipo="OSFL","7 · Actividades clave","7 · Actividades clave")</f>
        <v>7 · Actividades clave</v>
      </c>
      <c r="E5" s="105"/>
      <c r="F5" s="118" t="str">
        <f>IF(Tipo="OSFL","2 · Valor social y valor para quien financia","2 · Propuesta de valor")</f>
        <v>2 · Propuesta de valor</v>
      </c>
      <c r="G5" s="103"/>
      <c r="H5" s="120" t="str">
        <f>IF(Tipo="OSFL","4 · Tipo de intervención","4 · Relación con clientes")</f>
        <v>4 · Relación con clientes</v>
      </c>
      <c r="I5" s="121"/>
      <c r="J5" s="110" t="str">
        <f>IF(Tipo="OSFL","1 · Beneficiarios y quién financia","1 · Segmentos de clientes")</f>
        <v>1 · Segmentos de clientes</v>
      </c>
      <c r="K5" s="111"/>
    </row>
    <row r="6" spans="2:11" ht="46.05" customHeight="1" x14ac:dyDescent="0.3">
      <c r="B6" s="114" t="str">
        <f>IF(Tipo="OSFL","¿Quién es indispensable? ¿Necesito permisos o accesos especiales? Ej.: supermercado que dona, parroquia, municipio, Depto. de Salud.","¿Quién me ayuda a operar? Suplidores, aliados. Ej.: dos fincas de Barranquitas; imprenta de etiquetas.")</f>
        <v>¿Quién me ayuda a operar? Suplidores, aliados. Ej.: dos fincas de Barranquitas; imprenta de etiquetas.</v>
      </c>
      <c r="C6" s="115"/>
      <c r="D6" s="114" t="str">
        <f>IF(Tipo="OSFL","Las del programa y las de apoyo (recaudar, administrar). Ej.: rescatar, cocinar, entregar; recaudar fondos.","Lo que tengo que hacer bien todos los días. Ej.: tostar, empacar, repartir cada semana.")</f>
        <v>Lo que tengo que hacer bien todos los días. Ej.: tostar, empacar, repartir cada semana.</v>
      </c>
      <c r="E6" s="115"/>
      <c r="F6" s="114" t="str">
        <f>IF(Tipo="OSFL","¿Qué cambia en la vida del beneficiario? ¿Qué recibe el donante? Ej.: un almuerzo caliente y compañía cada día; al donante, impacto medible a $4 por almuerzo.","Tu propuesta: ¿qué problema resuelvo y por qué me escogen? Ej.: café fresco del pueblo, tostado esta semana y entregado en 24 horas.")</f>
        <v>Tu propuesta: ¿qué problema resuelvo y por qué me escogen? Ej.: café fresco del pueblo, tostado esta semana y entregado en 24 horas.</v>
      </c>
      <c r="G6" s="115"/>
      <c r="H6" s="114" t="str">
        <f>IF(Tipo="OSFL","¿Qué forma tiene: servicio, programa, producto, taller? Ej.: servicio diario de entrega de almuerzos.","¿Cómo los cuido para que vuelvan? Ej.: trato personal, suscripción mensual.")</f>
        <v>¿Cómo los cuido para que vuelvan? Ej.: trato personal, suscripción mensual.</v>
      </c>
      <c r="I6" s="115"/>
      <c r="J6" s="114" t="str">
        <f>IF(Tipo="OSFL","¿Quién recibe el servicio? ¿Quién paga: donantes, gobierno, clientes? Ej.: adultos mayores encamados / donantes, parroquia, municipio.","¿Quién tiene el problema y paga por resolverlo? Ej.: colmados y cafeterías de los seis municipios.")</f>
        <v>¿Quién tiene el problema y paga por resolverlo? Ej.: colmados y cafeterías de los seis municipios.</v>
      </c>
      <c r="K6" s="115"/>
    </row>
    <row r="7" spans="2:11" ht="21" customHeight="1" x14ac:dyDescent="0.3">
      <c r="B7" s="100"/>
      <c r="C7" s="100"/>
      <c r="D7" s="100"/>
      <c r="E7" s="100"/>
      <c r="F7" s="100"/>
      <c r="G7" s="100"/>
      <c r="H7" s="100"/>
      <c r="I7" s="100"/>
      <c r="J7" s="100"/>
      <c r="K7" s="100"/>
    </row>
    <row r="8" spans="2:11" ht="21" customHeight="1" x14ac:dyDescent="0.3">
      <c r="B8" s="100"/>
      <c r="C8" s="100"/>
      <c r="D8" s="100"/>
      <c r="E8" s="100"/>
      <c r="F8" s="100"/>
      <c r="G8" s="100"/>
      <c r="H8" s="100"/>
      <c r="I8" s="100"/>
      <c r="J8" s="100"/>
      <c r="K8" s="100"/>
    </row>
    <row r="9" spans="2:11" ht="21" customHeight="1" x14ac:dyDescent="0.3">
      <c r="B9" s="100"/>
      <c r="C9" s="100"/>
      <c r="D9" s="100"/>
      <c r="E9" s="100"/>
      <c r="F9" s="100"/>
      <c r="G9" s="100"/>
      <c r="H9" s="100"/>
      <c r="I9" s="100"/>
      <c r="J9" s="100"/>
      <c r="K9" s="100"/>
    </row>
    <row r="10" spans="2:11" ht="21" customHeight="1" x14ac:dyDescent="0.3">
      <c r="B10" s="100"/>
      <c r="C10" s="100"/>
      <c r="D10" s="100"/>
      <c r="E10" s="100"/>
      <c r="F10" s="100"/>
      <c r="G10" s="100"/>
      <c r="H10" s="100"/>
      <c r="I10" s="100"/>
      <c r="J10" s="100"/>
      <c r="K10" s="100"/>
    </row>
    <row r="11" spans="2:11" ht="21" customHeight="1" x14ac:dyDescent="0.3">
      <c r="B11" s="100"/>
      <c r="C11" s="100"/>
      <c r="D11" s="100"/>
      <c r="E11" s="100"/>
      <c r="F11" s="100"/>
      <c r="G11" s="100"/>
      <c r="H11" s="100"/>
      <c r="I11" s="100"/>
      <c r="J11" s="100"/>
      <c r="K11" s="100"/>
    </row>
    <row r="12" spans="2:11" x14ac:dyDescent="0.3">
      <c r="B12" s="100"/>
      <c r="C12" s="100"/>
      <c r="D12" s="119" t="str">
        <f>IF(Tipo="OSFL","6 · Recursos clave","6 · Recursos clave")</f>
        <v>6 · Recursos clave</v>
      </c>
      <c r="E12" s="105"/>
      <c r="F12" s="100"/>
      <c r="G12" s="100"/>
      <c r="H12" s="120" t="str">
        <f>IF(Tipo="OSFL","3 · Canales","3 · Canales")</f>
        <v>3 · Canales</v>
      </c>
      <c r="I12" s="121"/>
      <c r="J12" s="100"/>
      <c r="K12" s="100"/>
    </row>
    <row r="13" spans="2:11" ht="46.05" customHeight="1" x14ac:dyDescent="0.3">
      <c r="B13" s="100"/>
      <c r="C13" s="100"/>
      <c r="D13" s="114" t="str">
        <f>IF(Tipo="OSFL","Personas, fondos y accesos. Ej.: voluntarios, guagua, cocina certificada.","Lo indispensable para operar. Ej.: tostadora, vehículo, permisos, marca.")</f>
        <v>Lo indispensable para operar. Ej.: tostadora, vehículo, permisos, marca.</v>
      </c>
      <c r="E13" s="115"/>
      <c r="F13" s="100"/>
      <c r="G13" s="100"/>
      <c r="H13" s="114" t="str">
        <f>IF(Tipo="OSFL","¿Cómo llegamos a beneficiarios y donantes y cómo contamos la historia? Ej.: rutas de voluntarios, Facebook, WhatsApp.","¿Cómo me encuentran, compran y reciben? Ej.: visitas, WhatsApp, Ruta del Chicharrón.")</f>
        <v>¿Cómo me encuentran, compran y reciben? Ej.: visitas, WhatsApp, Ruta del Chicharrón.</v>
      </c>
      <c r="I13" s="115"/>
      <c r="J13" s="100"/>
      <c r="K13" s="100"/>
    </row>
    <row r="14" spans="2:11" ht="21" customHeight="1" x14ac:dyDescent="0.3">
      <c r="B14" s="100"/>
      <c r="C14" s="100"/>
      <c r="D14" s="100"/>
      <c r="E14" s="100"/>
      <c r="F14" s="100"/>
      <c r="G14" s="100"/>
      <c r="H14" s="100"/>
      <c r="I14" s="100"/>
      <c r="J14" s="100"/>
      <c r="K14" s="100"/>
    </row>
    <row r="15" spans="2:11" ht="21" customHeight="1" x14ac:dyDescent="0.3">
      <c r="B15" s="100"/>
      <c r="C15" s="100"/>
      <c r="D15" s="100"/>
      <c r="E15" s="100"/>
      <c r="F15" s="100"/>
      <c r="G15" s="100"/>
      <c r="H15" s="100"/>
      <c r="I15" s="100"/>
      <c r="J15" s="100"/>
      <c r="K15" s="100"/>
    </row>
    <row r="16" spans="2:11" ht="21" customHeight="1" x14ac:dyDescent="0.3">
      <c r="B16" s="100"/>
      <c r="C16" s="100"/>
      <c r="D16" s="100"/>
      <c r="E16" s="100"/>
      <c r="F16" s="100"/>
      <c r="G16" s="100"/>
      <c r="H16" s="100"/>
      <c r="I16" s="100"/>
      <c r="J16" s="100"/>
      <c r="K16" s="100"/>
    </row>
    <row r="17" spans="2:11" ht="21" customHeight="1" x14ac:dyDescent="0.3">
      <c r="B17" s="100"/>
      <c r="C17" s="100"/>
      <c r="D17" s="100"/>
      <c r="E17" s="100"/>
      <c r="F17" s="100"/>
      <c r="G17" s="100"/>
      <c r="H17" s="100"/>
      <c r="I17" s="100"/>
      <c r="J17" s="100"/>
      <c r="K17" s="100"/>
    </row>
    <row r="18" spans="2:11" ht="21" customHeight="1" x14ac:dyDescent="0.3">
      <c r="B18" s="100"/>
      <c r="C18" s="100"/>
      <c r="D18" s="100"/>
      <c r="E18" s="100"/>
      <c r="F18" s="100"/>
      <c r="G18" s="100"/>
      <c r="H18" s="100"/>
      <c r="I18" s="100"/>
      <c r="J18" s="100"/>
      <c r="K18" s="100"/>
    </row>
    <row r="19" spans="2:11" ht="21" customHeight="1" x14ac:dyDescent="0.3">
      <c r="B19" s="100"/>
      <c r="C19" s="100"/>
      <c r="D19" s="100"/>
      <c r="E19" s="100"/>
      <c r="F19" s="100"/>
      <c r="G19" s="100"/>
      <c r="H19" s="100"/>
      <c r="I19" s="100"/>
      <c r="J19" s="100"/>
      <c r="K19" s="100"/>
    </row>
    <row r="21" spans="2:11" x14ac:dyDescent="0.3">
      <c r="B21" s="117" t="str">
        <f>IF(Tipo="OSFL","9 · Estructura de costos","9 · Estructura de costos")</f>
        <v>9 · Estructura de costos</v>
      </c>
      <c r="C21" s="97"/>
      <c r="D21" s="97"/>
      <c r="E21" s="97"/>
      <c r="F21" s="97"/>
      <c r="G21" s="110" t="str">
        <f>IF(Tipo="OSFL","5 · Fuentes de ingresos y fondos","5 · Fuentes de ingreso")</f>
        <v>5 · Fuentes de ingreso</v>
      </c>
      <c r="H21" s="111"/>
      <c r="I21" s="111"/>
      <c r="J21" s="111"/>
      <c r="K21" s="111"/>
    </row>
    <row r="22" spans="2:11" ht="46.05" customHeight="1" x14ac:dyDescent="0.3">
      <c r="B22" s="114" t="str">
        <f>IF(Tipo="OSFL","Fijos (coordinador, luz, seguro) y por beneficiario (comida, envase). ¿Cómo cambian al crecer?","Fijos (renta, luz LUMA, nómina) y variables por unidad (café verde, empaque).")</f>
        <v>Fijos (renta, luz LUMA, nómina) y variables por unidad (café verde, empaque).</v>
      </c>
      <c r="C22" s="115"/>
      <c r="D22" s="115"/>
      <c r="E22" s="115"/>
      <c r="F22" s="115"/>
      <c r="G22" s="114" t="str">
        <f>IF(Tipo="OSFL","Donativos, propuestas, servicios, eventos, ingresos propios: ¿en qué proporción? Ej.: 60% donativos y propuestas, 25% municipio, 15% ventas.","¿Cuánto y cómo me pagan? Ej.: $12 por bolsa; suscripción de $20 al mes.")</f>
        <v>¿Cuánto y cómo me pagan? Ej.: $12 por bolsa; suscripción de $20 al mes.</v>
      </c>
      <c r="H22" s="115"/>
      <c r="I22" s="115"/>
      <c r="J22" s="115"/>
      <c r="K22" s="115"/>
    </row>
    <row r="23" spans="2:11" ht="21" customHeight="1" x14ac:dyDescent="0.3">
      <c r="B23" s="100"/>
      <c r="C23" s="100"/>
      <c r="D23" s="100"/>
      <c r="E23" s="100"/>
      <c r="F23" s="100"/>
      <c r="G23" s="100"/>
      <c r="H23" s="100"/>
      <c r="I23" s="100"/>
      <c r="J23" s="100"/>
      <c r="K23" s="100"/>
    </row>
    <row r="24" spans="2:11" ht="21" customHeight="1" x14ac:dyDescent="0.3">
      <c r="B24" s="100"/>
      <c r="C24" s="100"/>
      <c r="D24" s="100"/>
      <c r="E24" s="100"/>
      <c r="F24" s="100"/>
      <c r="G24" s="100"/>
      <c r="H24" s="100"/>
      <c r="I24" s="100"/>
      <c r="J24" s="100"/>
      <c r="K24" s="100"/>
    </row>
    <row r="25" spans="2:11" ht="21" customHeight="1" x14ac:dyDescent="0.3">
      <c r="B25" s="100"/>
      <c r="C25" s="100"/>
      <c r="D25" s="100"/>
      <c r="E25" s="100"/>
      <c r="F25" s="100"/>
      <c r="G25" s="100"/>
      <c r="H25" s="100"/>
      <c r="I25" s="100"/>
      <c r="J25" s="100"/>
      <c r="K25" s="100"/>
    </row>
    <row r="26" spans="2:11" ht="21" customHeight="1" x14ac:dyDescent="0.3">
      <c r="B26" s="100"/>
      <c r="C26" s="100"/>
      <c r="D26" s="100"/>
      <c r="E26" s="100"/>
      <c r="F26" s="100"/>
      <c r="G26" s="100"/>
      <c r="H26" s="100"/>
      <c r="I26" s="100"/>
      <c r="J26" s="100"/>
      <c r="K26" s="100"/>
    </row>
    <row r="27" spans="2:11" ht="21" customHeight="1" x14ac:dyDescent="0.3">
      <c r="B27" s="100"/>
      <c r="C27" s="100"/>
      <c r="D27" s="100"/>
      <c r="E27" s="100"/>
      <c r="F27" s="100"/>
      <c r="G27" s="100"/>
      <c r="H27" s="100"/>
      <c r="I27" s="100"/>
      <c r="J27" s="100"/>
      <c r="K27" s="100"/>
    </row>
    <row r="29" spans="2:11" x14ac:dyDescent="0.3">
      <c r="B29" s="118" t="str">
        <f>IF(Tipo="OSFL","10 · Medida de impacto y excedente","10 · Mi indicador clave de éxito")</f>
        <v>10 · Mi indicador clave de éxito</v>
      </c>
      <c r="C29" s="103"/>
      <c r="D29" s="103"/>
      <c r="E29" s="103"/>
      <c r="F29" s="103"/>
      <c r="G29" s="103"/>
      <c r="H29" s="103"/>
      <c r="I29" s="103"/>
      <c r="J29" s="103"/>
      <c r="K29" s="103"/>
    </row>
    <row r="30" spans="2:11" ht="46.05" customHeight="1" x14ac:dyDescent="0.3">
      <c r="B30" s="114" t="str">
        <f>IF(Tipo="OSFL","¿Cómo pruebo que funciona? ¿A dónde va lo que sobra? Ej.: almuerzos entregados al mes; el excedente va a la reserva operativa.","El número que miro cada semana. Ej.: bolsas vendidas por semana.")</f>
        <v>El número que miro cada semana. Ej.: bolsas vendidas por semana.</v>
      </c>
      <c r="C30" s="115"/>
      <c r="D30" s="115"/>
      <c r="E30" s="115"/>
      <c r="F30" s="115"/>
      <c r="G30" s="115"/>
      <c r="H30" s="115"/>
      <c r="I30" s="115"/>
      <c r="J30" s="115"/>
      <c r="K30" s="115"/>
    </row>
    <row r="31" spans="2:11" ht="21" customHeight="1" x14ac:dyDescent="0.3">
      <c r="B31" s="100"/>
      <c r="C31" s="100"/>
      <c r="D31" s="100"/>
      <c r="E31" s="100"/>
      <c r="F31" s="100"/>
      <c r="G31" s="100"/>
      <c r="H31" s="100"/>
      <c r="I31" s="100"/>
      <c r="J31" s="100"/>
      <c r="K31" s="100"/>
    </row>
    <row r="32" spans="2:11" ht="21" customHeight="1" x14ac:dyDescent="0.3">
      <c r="B32" s="100"/>
      <c r="C32" s="100"/>
      <c r="D32" s="100"/>
      <c r="E32" s="100"/>
      <c r="F32" s="100"/>
      <c r="G32" s="100"/>
      <c r="H32" s="100"/>
      <c r="I32" s="100"/>
      <c r="J32" s="100"/>
      <c r="K32" s="100"/>
    </row>
    <row r="33" spans="2:11" ht="21" customHeight="1" x14ac:dyDescent="0.3">
      <c r="B33" s="100"/>
      <c r="C33" s="100"/>
      <c r="D33" s="100"/>
      <c r="E33" s="100"/>
      <c r="F33" s="100"/>
      <c r="G33" s="100"/>
      <c r="H33" s="100"/>
      <c r="I33" s="100"/>
      <c r="J33" s="100"/>
      <c r="K33" s="100"/>
    </row>
    <row r="35" spans="2:11" x14ac:dyDescent="0.3">
      <c r="B35" s="107" t="s">
        <v>81</v>
      </c>
      <c r="C35" s="91"/>
      <c r="D35" s="91"/>
      <c r="E35" s="91"/>
      <c r="F35" s="91"/>
      <c r="G35" s="91"/>
      <c r="H35" s="91"/>
      <c r="I35" s="91"/>
      <c r="J35" s="91"/>
      <c r="K35" s="91"/>
    </row>
    <row r="37" spans="2:11" ht="19.95" customHeight="1" x14ac:dyDescent="0.3">
      <c r="B37" s="106" t="s">
        <v>82</v>
      </c>
      <c r="C37" s="97"/>
      <c r="D37" s="97"/>
      <c r="E37" s="97"/>
      <c r="F37" s="97"/>
      <c r="G37" s="97"/>
      <c r="H37" s="97"/>
      <c r="I37" s="97"/>
      <c r="J37" s="97"/>
      <c r="K37" s="97"/>
    </row>
    <row r="38" spans="2:11" x14ac:dyDescent="0.3">
      <c r="B38" s="116" t="s">
        <v>83</v>
      </c>
      <c r="C38" s="109"/>
      <c r="D38" s="116" t="s">
        <v>84</v>
      </c>
      <c r="E38" s="109"/>
      <c r="F38" s="109"/>
      <c r="G38" s="116" t="s">
        <v>85</v>
      </c>
      <c r="H38" s="109"/>
      <c r="I38" s="109"/>
      <c r="J38" s="109"/>
      <c r="K38" s="116" t="s">
        <v>86</v>
      </c>
    </row>
    <row r="39" spans="2:11" ht="43.95" customHeight="1" x14ac:dyDescent="0.3">
      <c r="B39" s="108" t="str">
        <f>IF(Tipo="OSFL","1 · Beneficiarios y quién financia","1 · Segmentos de clientes")</f>
        <v>1 · Segmentos de clientes</v>
      </c>
      <c r="C39" s="109"/>
      <c r="D39" s="112" t="str">
        <f>IF(Tipo="OSFL","Servimos a ______ (quiénes), en ______ (dónde). Son unos ______ (cuántos; fuente). Quien paga por el servicio es ______ (donantes, gobierno, familias).","Nuestros clientes son ______ (quiénes), en ______ (dónde). Son unos ______ (cuántos; fuente) y hoy resuelven el problema con ______.")</f>
        <v>Nuestros clientes son ______ (quiénes), en ______ (dónde). Son unos ______ (cuántos; fuente) y hoy resuelven el problema con ______.</v>
      </c>
      <c r="E39" s="113"/>
      <c r="F39" s="113"/>
      <c r="G39" s="100"/>
      <c r="H39" s="100"/>
      <c r="I39" s="100"/>
      <c r="J39" s="100"/>
      <c r="K39" s="26" t="s">
        <v>29</v>
      </c>
    </row>
    <row r="40" spans="2:11" ht="43.95" customHeight="1" x14ac:dyDescent="0.3">
      <c r="B40" s="108" t="str">
        <f>IF(Tipo="OSFL","2 · Valor social y valor para quien financia","2 · Propuesta de valor")</f>
        <v>2 · Propuesta de valor</v>
      </c>
      <c r="C40" s="109"/>
      <c r="D40" s="112" t="str">
        <f>IF(Tipo="OSFL","Ayudamos a ______ a ______ mediante ______. Para el beneficiario cambia ______; quien financia recibe ______ (resultados, informes, reconocimiento).","Ayudamos a ______ a ______ mediante ______, a diferencia de ______, porque ______.")</f>
        <v>Ayudamos a ______ a ______ mediante ______, a diferencia de ______, porque ______.</v>
      </c>
      <c r="E40" s="113"/>
      <c r="F40" s="113"/>
      <c r="G40" s="100"/>
      <c r="H40" s="100"/>
      <c r="I40" s="100"/>
      <c r="J40" s="100"/>
      <c r="K40" s="26" t="s">
        <v>33</v>
      </c>
    </row>
    <row r="41" spans="2:11" ht="43.95" customHeight="1" x14ac:dyDescent="0.3">
      <c r="B41" s="108" t="s">
        <v>87</v>
      </c>
      <c r="C41" s="109"/>
      <c r="D41" s="112" t="str">
        <f>IF(Tipo="OSFL","Los beneficiarios llegan por ______ (referidos de ______). Quienes financian nos conocen por ______ y les contamos la historia con ______.","Nos encuentran por ______ y compran o reciben el producto por ______. Cada canal aporta ______ % de las ventas.")</f>
        <v>Nos encuentran por ______ y compran o reciben el producto por ______. Cada canal aporta ______ % de las ventas.</v>
      </c>
      <c r="E41" s="113"/>
      <c r="F41" s="113"/>
      <c r="G41" s="100"/>
      <c r="H41" s="100"/>
      <c r="I41" s="100"/>
      <c r="J41" s="100"/>
      <c r="K41" s="26" t="s">
        <v>41</v>
      </c>
    </row>
    <row r="42" spans="2:11" ht="43.95" customHeight="1" x14ac:dyDescent="0.3">
      <c r="B42" s="108" t="str">
        <f>IF(Tipo="OSFL","4 · Tipo de intervención","4 · Relación con clientes")</f>
        <v>4 · Relación con clientes</v>
      </c>
      <c r="C42" s="109"/>
      <c r="D42" s="112" t="str">
        <f>IF(Tipo="OSFL","Intervenimos mediante ______ (servicio, programa, producto o taller), ______ veces por ______, durante ______.","Mantenemos la relación con ______ (visitas, WhatsApp, membresía) cada ______, y medimos ______ (clientes que repiten).")</f>
        <v>Mantenemos la relación con ______ (visitas, WhatsApp, membresía) cada ______, y medimos ______ (clientes que repiten).</v>
      </c>
      <c r="E42" s="113"/>
      <c r="F42" s="113"/>
      <c r="G42" s="100"/>
      <c r="H42" s="100"/>
      <c r="I42" s="100"/>
      <c r="J42" s="100"/>
      <c r="K42" s="26" t="s">
        <v>41</v>
      </c>
    </row>
    <row r="43" spans="2:11" ht="43.95" customHeight="1" x14ac:dyDescent="0.3">
      <c r="B43" s="108" t="str">
        <f>IF(Tipo="OSFL","5 · Fuentes de ingresos y fondos","5 · Fuentes de ingreso")</f>
        <v>5 · Fuentes de ingreso</v>
      </c>
      <c r="C43" s="109"/>
      <c r="D43" s="112" t="str">
        <f>IF(Tipo="OSFL","Nuestros fondos vienen de ______ (______ %), ______ (______ %) y ______ (______ %). En total, $______ al año.","Cobramos $______ por ______ (unidad). Esperamos ______ unidades al mes, es decir, $______ de ingresos mensuales.")</f>
        <v>Cobramos $______ por ______ (unidad). Esperamos ______ unidades al mes, es decir, $______ de ingresos mensuales.</v>
      </c>
      <c r="E43" s="113"/>
      <c r="F43" s="113"/>
      <c r="G43" s="100"/>
      <c r="H43" s="100"/>
      <c r="I43" s="100"/>
      <c r="J43" s="100"/>
      <c r="K43" s="26" t="s">
        <v>88</v>
      </c>
    </row>
    <row r="44" spans="2:11" ht="43.95" customHeight="1" x14ac:dyDescent="0.3">
      <c r="B44" s="108" t="s">
        <v>89</v>
      </c>
      <c r="C44" s="109"/>
      <c r="D44" s="112" t="str">
        <f>IF(Tipo="OSFL","Para operar necesitamos ______ (local, equipo, personal, voluntarios, licencias). Ya tenemos ______; nos falta ______, que cuesta $______.","Para operar necesitamos ______ (local, equipo, personas, permisos). Ya tenemos ______; nos falta ______, que cuesta $______.")</f>
        <v>Para operar necesitamos ______ (local, equipo, personas, permisos). Ya tenemos ______; nos falta ______, que cuesta $______.</v>
      </c>
      <c r="E44" s="113"/>
      <c r="F44" s="113"/>
      <c r="G44" s="100"/>
      <c r="H44" s="100"/>
      <c r="I44" s="100"/>
      <c r="J44" s="100"/>
      <c r="K44" s="26" t="s">
        <v>90</v>
      </c>
    </row>
    <row r="45" spans="2:11" ht="43.95" customHeight="1" x14ac:dyDescent="0.3">
      <c r="B45" s="108" t="s">
        <v>91</v>
      </c>
      <c r="C45" s="109"/>
      <c r="D45" s="112" t="str">
        <f>IF(Tipo="OSFL","Cada semana hacemos ______, ______ y ______ (en ese orden). Podemos atender a ______ personas al mes.","Cada semana hacemos ______, ______ y ______ (en ese orden). Nuestra capacidad es de ______ unidades al mes.")</f>
        <v>Cada semana hacemos ______, ______ y ______ (en ese orden). Nuestra capacidad es de ______ unidades al mes.</v>
      </c>
      <c r="E45" s="113"/>
      <c r="F45" s="113"/>
      <c r="G45" s="100"/>
      <c r="H45" s="100"/>
      <c r="I45" s="100"/>
      <c r="J45" s="100"/>
      <c r="K45" s="26" t="s">
        <v>90</v>
      </c>
    </row>
    <row r="46" spans="2:11" ht="43.95" customHeight="1" x14ac:dyDescent="0.3">
      <c r="B46" s="108" t="str">
        <f>IF(Tipo="OSFL","8 · Socios y partes interesadas","8 · Socios clave")</f>
        <v>8 · Socios clave</v>
      </c>
      <c r="C46" s="109"/>
      <c r="D46" s="112" t="str">
        <f>IF(Tipo="OSFL","Nuestros aliados son ______ (para ______). Las partes interesadas a las que rendimos cuentas son ______.","Dependemos de ______ para ______. Si falla, ______ (plan B).")</f>
        <v>Dependemos de ______ para ______. Si falla, ______ (plan B).</v>
      </c>
      <c r="E46" s="113"/>
      <c r="F46" s="113"/>
      <c r="G46" s="100"/>
      <c r="H46" s="100"/>
      <c r="I46" s="100"/>
      <c r="J46" s="100"/>
      <c r="K46" s="26" t="s">
        <v>90</v>
      </c>
    </row>
    <row r="47" spans="2:11" ht="43.95" customHeight="1" x14ac:dyDescent="0.3">
      <c r="B47" s="108" t="s">
        <v>92</v>
      </c>
      <c r="C47" s="109"/>
      <c r="D47" s="112" t="str">
        <f>IF(Tipo="OSFL","Nuestros costos fijos son $______ al mes (______) y el costo por beneficiario es $______. El costo por unidad de impacto es $______.","Nuestros costos fijos son $______ al mes (______) y el costo variable es $______ por unidad. El punto de equilibrio es ______ unidades al mes.")</f>
        <v>Nuestros costos fijos son $______ al mes (______) y el costo variable es $______ por unidad. El punto de equilibrio es ______ unidades al mes.</v>
      </c>
      <c r="E47" s="113"/>
      <c r="F47" s="113"/>
      <c r="G47" s="100"/>
      <c r="H47" s="100"/>
      <c r="I47" s="100"/>
      <c r="J47" s="100"/>
      <c r="K47" s="26" t="s">
        <v>88</v>
      </c>
    </row>
    <row r="48" spans="2:11" ht="43.95" customHeight="1" x14ac:dyDescent="0.3">
      <c r="B48" s="108" t="str">
        <f>IF(Tipo="OSFL","10 · Medida de impacto y excedente","10 · Indicador clave de éxito")</f>
        <v>10 · Indicador clave de éxito</v>
      </c>
      <c r="C48" s="109"/>
      <c r="D48" s="112" t="str">
        <f>IF(Tipo="OSFL","Medimos el impacto con ______; la meta del año es ______. Si sobra dinero, va a ______ (reserva, ampliar el programa).","Sabremos que funciona cuando ______ (indicador) llegue a ______ en ______ (fecha).")</f>
        <v>Sabremos que funciona cuando ______ (indicador) llegue a ______ en ______ (fecha).</v>
      </c>
      <c r="E48" s="113"/>
      <c r="F48" s="113"/>
      <c r="G48" s="100"/>
      <c r="H48" s="100"/>
      <c r="I48" s="100"/>
      <c r="J48" s="100"/>
      <c r="K48" s="26" t="s">
        <v>93</v>
      </c>
    </row>
    <row r="49" spans="2:11" ht="28.05" customHeight="1" x14ac:dyDescent="0.3">
      <c r="B49" s="107" t="s">
        <v>94</v>
      </c>
      <c r="C49" s="91"/>
      <c r="D49" s="91"/>
      <c r="E49" s="91"/>
      <c r="F49" s="91"/>
      <c r="G49" s="91"/>
      <c r="H49" s="91"/>
      <c r="I49" s="91"/>
      <c r="J49" s="91"/>
      <c r="K49" s="91"/>
    </row>
  </sheetData>
  <sheetProtection sheet="1" formatCells="0" formatColumns="0" formatRows="0"/>
  <mergeCells count="69">
    <mergeCell ref="B2:K2"/>
    <mergeCell ref="B40:C40"/>
    <mergeCell ref="H13:I13"/>
    <mergeCell ref="G45:J45"/>
    <mergeCell ref="D12:E12"/>
    <mergeCell ref="F7:G19"/>
    <mergeCell ref="B6:C6"/>
    <mergeCell ref="H12:I12"/>
    <mergeCell ref="H7:I11"/>
    <mergeCell ref="B5:C5"/>
    <mergeCell ref="D5:E5"/>
    <mergeCell ref="D40:F40"/>
    <mergeCell ref="B45:C45"/>
    <mergeCell ref="B29:K29"/>
    <mergeCell ref="H5:I5"/>
    <mergeCell ref="D45:F45"/>
    <mergeCell ref="B3:K3"/>
    <mergeCell ref="G42:J42"/>
    <mergeCell ref="D42:F42"/>
    <mergeCell ref="D38:F38"/>
    <mergeCell ref="B38:C38"/>
    <mergeCell ref="B31:K33"/>
    <mergeCell ref="G39:J39"/>
    <mergeCell ref="B7:C19"/>
    <mergeCell ref="D7:E11"/>
    <mergeCell ref="B23:F27"/>
    <mergeCell ref="D14:E19"/>
    <mergeCell ref="G38:J38"/>
    <mergeCell ref="H14:I19"/>
    <mergeCell ref="B41:C41"/>
    <mergeCell ref="G22:K22"/>
    <mergeCell ref="B37:K37"/>
    <mergeCell ref="F5:G5"/>
    <mergeCell ref="B35:K35"/>
    <mergeCell ref="B42:C42"/>
    <mergeCell ref="G43:J43"/>
    <mergeCell ref="G23:K27"/>
    <mergeCell ref="D39:F39"/>
    <mergeCell ref="G44:J44"/>
    <mergeCell ref="H6:I6"/>
    <mergeCell ref="G46:J46"/>
    <mergeCell ref="B48:C48"/>
    <mergeCell ref="J6:K6"/>
    <mergeCell ref="D13:E13"/>
    <mergeCell ref="B44:C44"/>
    <mergeCell ref="G48:J48"/>
    <mergeCell ref="D44:F44"/>
    <mergeCell ref="D46:F46"/>
    <mergeCell ref="B21:F21"/>
    <mergeCell ref="D6:E6"/>
    <mergeCell ref="B39:C39"/>
    <mergeCell ref="J7:K19"/>
    <mergeCell ref="G40:J40"/>
    <mergeCell ref="B47:C47"/>
    <mergeCell ref="G21:K21"/>
    <mergeCell ref="B49:K49"/>
    <mergeCell ref="J5:K5"/>
    <mergeCell ref="D41:F41"/>
    <mergeCell ref="B30:K30"/>
    <mergeCell ref="B46:C46"/>
    <mergeCell ref="K38"/>
    <mergeCell ref="D48:F48"/>
    <mergeCell ref="F6:G6"/>
    <mergeCell ref="G47:J47"/>
    <mergeCell ref="B22:F22"/>
    <mergeCell ref="G41:J41"/>
    <mergeCell ref="D47:F47"/>
    <mergeCell ref="D43:F43"/>
    <mergeCell ref="B43:C43"/>
  </mergeCells>
  <pageMargins left="0.4" right="0.4" top="0.5" bottom="0.5" header="0.5" footer="0.5"/>
  <pageSetup scale="70" fitToHeight="0" orientation="landscape"/>
  <headerFooter>
    <oddFooter>&amp;C&amp;8 Mi Plan de Negocio Preliminar · Asesores Financieros Comunitarios, Inc. · Página &amp;P de &amp;N</oddFooter>
  </headerFooter>
  <rowBreaks count="1" manualBreakCount="1">
    <brk id="3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26524"/>
    <pageSetUpPr fitToPage="1"/>
  </sheetPr>
  <dimension ref="B1:G40"/>
  <sheetViews>
    <sheetView showGridLines="0" workbookViewId="0"/>
  </sheetViews>
  <sheetFormatPr defaultRowHeight="14.4" x14ac:dyDescent="0.3"/>
  <cols>
    <col min="1" max="1" width="2" customWidth="1"/>
    <col min="2" max="2" width="30" customWidth="1"/>
    <col min="3" max="6" width="18" customWidth="1"/>
    <col min="7" max="7" width="30" customWidth="1"/>
  </cols>
  <sheetData>
    <row r="1" spans="2:7" ht="7.95" customHeight="1" x14ac:dyDescent="0.3"/>
    <row r="2" spans="2:7" ht="30" customHeight="1" x14ac:dyDescent="0.3">
      <c r="B2" s="101" t="s">
        <v>95</v>
      </c>
      <c r="C2" s="97"/>
      <c r="D2" s="97"/>
      <c r="E2" s="97"/>
      <c r="F2" s="97"/>
      <c r="G2" s="97"/>
    </row>
    <row r="3" spans="2:7" ht="22.05" customHeight="1" x14ac:dyDescent="0.3">
      <c r="B3" s="104" t="s">
        <v>96</v>
      </c>
      <c r="C3" s="105"/>
      <c r="D3" s="105"/>
      <c r="E3" s="105"/>
      <c r="F3" s="105"/>
      <c r="G3" s="105"/>
    </row>
    <row r="5" spans="2:7" ht="19.95" customHeight="1" x14ac:dyDescent="0.3">
      <c r="B5" s="102" t="s">
        <v>97</v>
      </c>
      <c r="C5" s="103"/>
      <c r="D5" s="103"/>
      <c r="E5" s="103"/>
      <c r="F5" s="103"/>
      <c r="G5" s="103"/>
    </row>
    <row r="6" spans="2:7" ht="30" customHeight="1" x14ac:dyDescent="0.3">
      <c r="B6" s="16" t="s">
        <v>98</v>
      </c>
      <c r="C6" s="122"/>
      <c r="D6" s="122"/>
      <c r="E6" s="122"/>
      <c r="F6" s="122"/>
      <c r="G6" s="18" t="str">
        <f>IF(Tipo="OSFL","Ej.: adultos mayores encamados de los barrios de Naranjito","Ej.: colmados y cafeterías de Naranjito")</f>
        <v>Ej.: colmados y cafeterías de Naranjito</v>
      </c>
    </row>
    <row r="7" spans="2:7" ht="30" customHeight="1" x14ac:dyDescent="0.3">
      <c r="B7" s="16" t="s">
        <v>99</v>
      </c>
      <c r="C7" s="122"/>
      <c r="D7" s="122"/>
      <c r="E7" s="122"/>
      <c r="F7" s="122"/>
      <c r="G7" s="18" t="str">
        <f>IF(Tipo="OSFL","Ej.: recibir un almuerzo nutritivo y compañía cada día","Ej.: ofrecer café fresco del pueblo sin depender de suplidores lejanos")</f>
        <v>Ej.: ofrecer café fresco del pueblo sin depender de suplidores lejanos</v>
      </c>
    </row>
    <row r="8" spans="2:7" ht="30" customHeight="1" x14ac:dyDescent="0.3">
      <c r="B8" s="16" t="s">
        <v>100</v>
      </c>
      <c r="C8" s="122"/>
      <c r="D8" s="122"/>
      <c r="E8" s="122"/>
      <c r="F8" s="122"/>
      <c r="G8" s="18" t="str">
        <f>IF(Tipo="OSFL","Ej.: rutas de voluntarios con comida rescatada y cocinada","Ej.: café tostado cada semana y entregado en 24 horas")</f>
        <v>Ej.: café tostado cada semana y entregado en 24 horas</v>
      </c>
    </row>
    <row r="9" spans="2:7" ht="30" customHeight="1" x14ac:dyDescent="0.3">
      <c r="B9" s="16" t="s">
        <v>101</v>
      </c>
      <c r="C9" s="122"/>
      <c r="D9" s="122"/>
      <c r="E9" s="122"/>
      <c r="F9" s="122"/>
      <c r="G9" s="18" t="str">
        <f>IF(Tipo="OSFL","Ej.: esperar ayuda esporádica de familiares o vecinos","Ej.: el café industrial que llega meses después de tostado")</f>
        <v>Ej.: el café industrial que llega meses después de tostado</v>
      </c>
    </row>
    <row r="10" spans="2:7" ht="30" customHeight="1" x14ac:dyDescent="0.3">
      <c r="B10" s="16" t="s">
        <v>102</v>
      </c>
      <c r="C10" s="122"/>
      <c r="D10" s="122"/>
      <c r="E10" s="122"/>
      <c r="F10" s="122"/>
      <c r="G10" s="18" t="str">
        <f>IF(Tipo="OSFL","Ej.: ya entregamos 50 almuerzos en el piloto con la parroquia","Ej.: tostamos en el pueblo y conocemos a cada cliente por su nombre")</f>
        <v>Ej.: tostamos en el pueblo y conocemos a cada cliente por su nombre</v>
      </c>
    </row>
    <row r="11" spans="2:7" ht="30" customHeight="1" x14ac:dyDescent="0.3">
      <c r="B11" s="27" t="s">
        <v>103</v>
      </c>
      <c r="C11" s="125" t="str">
        <f>IF(COUNTA(C6:C10)&lt;5,"(Completa las cinco líneas y tu oración aparecerá aquí)","Ayudamos a "&amp;C6&amp;" a "&amp;C7&amp;" mediante "&amp;C8&amp;", a diferencia de "&amp;C9&amp;", porque "&amp;C10&amp;".")</f>
        <v>(Completa las cinco líneas y tu oración aparecerá aquí)</v>
      </c>
      <c r="D11" s="113"/>
      <c r="E11" s="113"/>
      <c r="F11" s="113"/>
      <c r="G11" s="113"/>
    </row>
    <row r="12" spans="2:7" ht="30" customHeight="1" x14ac:dyDescent="0.3">
      <c r="C12" s="113"/>
      <c r="D12" s="113"/>
      <c r="E12" s="113"/>
      <c r="F12" s="113"/>
      <c r="G12" s="113"/>
    </row>
    <row r="14" spans="2:7" ht="19.95" customHeight="1" x14ac:dyDescent="0.3">
      <c r="B14" s="123" t="s">
        <v>104</v>
      </c>
      <c r="C14" s="105"/>
      <c r="D14" s="105"/>
      <c r="E14" s="105"/>
      <c r="F14" s="105"/>
      <c r="G14" s="105"/>
    </row>
    <row r="15" spans="2:7" ht="31.95" customHeight="1" x14ac:dyDescent="0.3">
      <c r="B15" s="16" t="s">
        <v>105</v>
      </c>
      <c r="C15" s="122"/>
      <c r="D15" s="122"/>
      <c r="E15" s="122"/>
      <c r="F15" s="122"/>
      <c r="G15" s="18" t="str">
        <f>IF(Tipo="OSFL","Ej.: Que ningún adulto mayor encamado de Naranjito pase un día sin comer.","Ej.: Llevar el sabor del café de nuestra montaña a cada taza del pueblo.")</f>
        <v>Ej.: Llevar el sabor del café de nuestra montaña a cada taza del pueblo.</v>
      </c>
    </row>
    <row r="16" spans="2:7" ht="31.95" customHeight="1" x14ac:dyDescent="0.3">
      <c r="B16" s="16" t="s">
        <v>106</v>
      </c>
      <c r="C16" s="122"/>
      <c r="D16" s="122"/>
      <c r="E16" s="122"/>
      <c r="F16" s="122"/>
      <c r="G16" s="18" t="str">
        <f>IF(Tipo="OSFL","Ej.: Servir 300 adultos mayores diarios en 4 municipios de la montaña.","Ej.: Ser el café local preferido en 40 comercios del centro de la isla.")</f>
        <v>Ej.: Ser el café local preferido en 40 comercios del centro de la isla.</v>
      </c>
    </row>
    <row r="17" spans="2:7" ht="31.95" customHeight="1" x14ac:dyDescent="0.3">
      <c r="B17" s="16" t="s">
        <v>107</v>
      </c>
      <c r="C17" s="122"/>
      <c r="D17" s="122"/>
      <c r="E17" s="122"/>
      <c r="F17" s="122"/>
      <c r="G17" s="18" t="str">
        <f>IF(Tipo="OSFL","Ej.: Red de voluntarios y confianza de las familias.","Ej.: Frescura comprobable y servicio personal.")</f>
        <v>Ej.: Frescura comprobable y servicio personal.</v>
      </c>
    </row>
    <row r="18" spans="2:7" ht="31.95" customHeight="1" x14ac:dyDescent="0.3">
      <c r="B18" s="16" t="s">
        <v>108</v>
      </c>
      <c r="C18" s="122"/>
      <c r="D18" s="122"/>
      <c r="E18" s="122"/>
      <c r="F18" s="122"/>
      <c r="G18" s="18" t="str">
        <f>IF(Tipo="OSFL","Ej.: Dignidad, transparencia, solidaridad.","Ej.: Calidad, puntualidad, orgullo local.")</f>
        <v>Ej.: Calidad, puntualidad, orgullo local.</v>
      </c>
    </row>
    <row r="20" spans="2:7" ht="19.95" customHeight="1" x14ac:dyDescent="0.3">
      <c r="B20" s="106" t="s">
        <v>109</v>
      </c>
      <c r="C20" s="97"/>
      <c r="D20" s="97"/>
      <c r="E20" s="97"/>
      <c r="F20" s="97"/>
      <c r="G20" s="97"/>
    </row>
    <row r="21" spans="2:7" ht="30" customHeight="1" x14ac:dyDescent="0.3">
      <c r="B21" s="16" t="s">
        <v>110</v>
      </c>
      <c r="C21" s="122"/>
      <c r="D21" s="122"/>
      <c r="E21" s="122"/>
      <c r="F21" s="122"/>
      <c r="G21" s="18" t="str">
        <f>IF(Tipo="OSFL","Ej.: aceptar un contrato para servir otra población","Ej.: vender en un supermercado de cadena")</f>
        <v>Ej.: vender en un supermercado de cadena</v>
      </c>
    </row>
    <row r="22" spans="2:7" ht="26.4" x14ac:dyDescent="0.3">
      <c r="B22" s="28" t="s">
        <v>111</v>
      </c>
      <c r="C22" s="124" t="s">
        <v>112</v>
      </c>
      <c r="D22" s="91"/>
      <c r="E22" s="91"/>
      <c r="F22" s="29" t="s">
        <v>113</v>
      </c>
      <c r="G22" s="28" t="s">
        <v>114</v>
      </c>
    </row>
    <row r="23" spans="2:7" ht="28.05" customHeight="1" x14ac:dyDescent="0.3">
      <c r="B23" s="17"/>
      <c r="C23" s="122"/>
      <c r="D23" s="122"/>
      <c r="E23" s="122"/>
      <c r="F23" s="30"/>
      <c r="G23" s="18" t="str">
        <f>IF(Tipo="OSFL","Ej.: Nos acerca a la misión","Ej.: Nos acerca a la misión o a la meta de 3 años")</f>
        <v>Ej.: Nos acerca a la misión o a la meta de 3 años</v>
      </c>
    </row>
    <row r="24" spans="2:7" ht="28.05" customHeight="1" x14ac:dyDescent="0.3">
      <c r="B24" s="17"/>
      <c r="C24" s="122"/>
      <c r="D24" s="122"/>
      <c r="E24" s="122"/>
      <c r="F24" s="30"/>
      <c r="G24" s="18" t="str">
        <f>IF(Tipo="OSFL","Ej.: Cubre su costo total o tiene quien lo financie","Ej.: Deja margen de ganancia de 30% o más")</f>
        <v>Ej.: Deja margen de ganancia de 30% o más</v>
      </c>
    </row>
    <row r="25" spans="2:7" ht="28.05" customHeight="1" x14ac:dyDescent="0.3">
      <c r="B25" s="17"/>
      <c r="C25" s="122"/>
      <c r="D25" s="122"/>
      <c r="E25" s="122"/>
      <c r="F25" s="30"/>
      <c r="G25" s="18" t="str">
        <f>IF(Tipo="OSFL","Ej.: No pone en riesgo la calidad del servicio actual","Ej.: Lo podemos hacer con el equipo que tenemos")</f>
        <v>Ej.: Lo podemos hacer con el equipo que tenemos</v>
      </c>
    </row>
    <row r="26" spans="2:7" ht="28.05" customHeight="1" x14ac:dyDescent="0.3">
      <c r="B26" s="17"/>
      <c r="C26" s="122"/>
      <c r="D26" s="122"/>
      <c r="E26" s="122"/>
      <c r="F26" s="30"/>
      <c r="G26" s="18" t="str">
        <f>IF(Tipo="OSFL","Ej.: No nos hace depender de un solo donante","Ej.: No nos ata a un solo cliente")</f>
        <v>Ej.: No nos ata a un solo cliente</v>
      </c>
    </row>
    <row r="27" spans="2:7" ht="28.05" customHeight="1" x14ac:dyDescent="0.3">
      <c r="B27" s="17"/>
      <c r="C27" s="122"/>
      <c r="D27" s="122"/>
      <c r="E27" s="122"/>
      <c r="F27" s="30"/>
      <c r="G27" s="18" t="str">
        <f>IF(Tipo="OSFL","Ej.: Fortalece la confianza de la comunidad","Ej.: Fortalece la marca local")</f>
        <v>Ej.: Fortalece la marca local</v>
      </c>
    </row>
    <row r="28" spans="2:7" ht="24" customHeight="1" x14ac:dyDescent="0.3">
      <c r="B28" s="31" t="s">
        <v>115</v>
      </c>
      <c r="C28" s="125" t="str">
        <f>IF(COUNTA(F23:F27)=0,"(Contesta Sí o No en cada criterio)",IF(COUNTIF(F23:F27,"Sí")=COUNTA(B23:B27),"PASA EL FILTRO: vale la pena planificarla","NO PASA: cumple "&amp;COUNTIF(F23:F27,"Sí")&amp;" de "&amp;COUNTA(B23:B27)&amp;" criterios. Aprende a decir que no."))</f>
        <v>(Contesta Sí o No en cada criterio)</v>
      </c>
      <c r="D28" s="91"/>
      <c r="E28" s="91"/>
      <c r="F28" s="91"/>
      <c r="G28" s="91"/>
    </row>
    <row r="30" spans="2:7" ht="19.95" customHeight="1" x14ac:dyDescent="0.3">
      <c r="B30" s="126" t="s">
        <v>116</v>
      </c>
      <c r="C30" s="111"/>
      <c r="D30" s="111"/>
      <c r="E30" s="111"/>
      <c r="F30" s="111"/>
      <c r="G30" s="111"/>
    </row>
    <row r="31" spans="2:7" x14ac:dyDescent="0.3">
      <c r="B31" s="110" t="s">
        <v>117</v>
      </c>
      <c r="C31" s="111"/>
      <c r="D31" s="111"/>
      <c r="E31" s="118" t="s">
        <v>118</v>
      </c>
      <c r="F31" s="103"/>
      <c r="G31" s="103"/>
    </row>
    <row r="32" spans="2:7" ht="18" customHeight="1" x14ac:dyDescent="0.3">
      <c r="B32" s="100"/>
      <c r="C32" s="100"/>
      <c r="D32" s="100"/>
      <c r="E32" s="100"/>
      <c r="F32" s="100"/>
      <c r="G32" s="100"/>
    </row>
    <row r="33" spans="2:7" ht="18" customHeight="1" x14ac:dyDescent="0.3">
      <c r="B33" s="100"/>
      <c r="C33" s="100"/>
      <c r="D33" s="100"/>
      <c r="E33" s="100"/>
      <c r="F33" s="100"/>
      <c r="G33" s="100"/>
    </row>
    <row r="34" spans="2:7" ht="18" customHeight="1" x14ac:dyDescent="0.3">
      <c r="B34" s="100"/>
      <c r="C34" s="100"/>
      <c r="D34" s="100"/>
      <c r="E34" s="100"/>
      <c r="F34" s="100"/>
      <c r="G34" s="100"/>
    </row>
    <row r="35" spans="2:7" ht="18" customHeight="1" x14ac:dyDescent="0.3">
      <c r="B35" s="100"/>
      <c r="C35" s="100"/>
      <c r="D35" s="100"/>
      <c r="E35" s="100"/>
      <c r="F35" s="100"/>
      <c r="G35" s="100"/>
    </row>
    <row r="36" spans="2:7" x14ac:dyDescent="0.3">
      <c r="B36" s="119" t="s">
        <v>119</v>
      </c>
      <c r="C36" s="105"/>
      <c r="D36" s="105"/>
      <c r="E36" s="117" t="s">
        <v>120</v>
      </c>
      <c r="F36" s="97"/>
      <c r="G36" s="97"/>
    </row>
    <row r="37" spans="2:7" ht="18" customHeight="1" x14ac:dyDescent="0.3">
      <c r="B37" s="100"/>
      <c r="C37" s="100"/>
      <c r="D37" s="100"/>
      <c r="E37" s="100"/>
      <c r="F37" s="100"/>
      <c r="G37" s="100"/>
    </row>
    <row r="38" spans="2:7" ht="18" customHeight="1" x14ac:dyDescent="0.3">
      <c r="B38" s="100"/>
      <c r="C38" s="100"/>
      <c r="D38" s="100"/>
      <c r="E38" s="100"/>
      <c r="F38" s="100"/>
      <c r="G38" s="100"/>
    </row>
    <row r="39" spans="2:7" ht="18" customHeight="1" x14ac:dyDescent="0.3">
      <c r="B39" s="100"/>
      <c r="C39" s="100"/>
      <c r="D39" s="100"/>
      <c r="E39" s="100"/>
      <c r="F39" s="100"/>
      <c r="G39" s="100"/>
    </row>
    <row r="40" spans="2:7" ht="18" customHeight="1" x14ac:dyDescent="0.3">
      <c r="B40" s="100"/>
      <c r="C40" s="100"/>
      <c r="D40" s="100"/>
      <c r="E40" s="100"/>
      <c r="F40" s="100"/>
      <c r="G40" s="100"/>
    </row>
  </sheetData>
  <sheetProtection sheet="1" formatCells="0" formatColumns="0" formatRows="0"/>
  <mergeCells count="32">
    <mergeCell ref="B3:G3"/>
    <mergeCell ref="C9:F9"/>
    <mergeCell ref="B31:D31"/>
    <mergeCell ref="C28:G28"/>
    <mergeCell ref="C21:F21"/>
    <mergeCell ref="C26:E26"/>
    <mergeCell ref="C25:E25"/>
    <mergeCell ref="E37:G40"/>
    <mergeCell ref="C27:E27"/>
    <mergeCell ref="B32:D35"/>
    <mergeCell ref="E36:G36"/>
    <mergeCell ref="C23:E23"/>
    <mergeCell ref="B30:G30"/>
    <mergeCell ref="B36:D36"/>
    <mergeCell ref="C24:E24"/>
    <mergeCell ref="B37:D40"/>
    <mergeCell ref="B2:G2"/>
    <mergeCell ref="C17:F17"/>
    <mergeCell ref="C8:F8"/>
    <mergeCell ref="B14:G14"/>
    <mergeCell ref="E32:G35"/>
    <mergeCell ref="C22:E22"/>
    <mergeCell ref="E31:G31"/>
    <mergeCell ref="C7:F7"/>
    <mergeCell ref="C11:G12"/>
    <mergeCell ref="C18:F18"/>
    <mergeCell ref="C6:F6"/>
    <mergeCell ref="C15:F15"/>
    <mergeCell ref="B20:G20"/>
    <mergeCell ref="B5:G5"/>
    <mergeCell ref="C16:F16"/>
    <mergeCell ref="C10:F10"/>
  </mergeCells>
  <dataValidations count="1">
    <dataValidation type="list" allowBlank="1" errorTitle="Opción no válida" error="Escoge una opción de la lista." sqref="F23:F27" xr:uid="{00000000-0002-0000-0300-000000000000}">
      <formula1>"Sí,No"</formula1>
    </dataValidation>
  </dataValidations>
  <pageMargins left="0.4" right="0.4" top="0.5" bottom="0.5" header="0.5" footer="0.5"/>
  <pageSetup fitToHeight="0" orientation="portrait"/>
  <headerFooter>
    <oddFooter>&amp;C&amp;8 Mi Plan de Negocio Preliminar · Asesores Financieros Comunitarios, Inc. · Página &amp;P de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38986"/>
    <pageSetUpPr fitToPage="1"/>
  </sheetPr>
  <dimension ref="B1:H39"/>
  <sheetViews>
    <sheetView showGridLines="0" workbookViewId="0"/>
  </sheetViews>
  <sheetFormatPr defaultRowHeight="14.4" x14ac:dyDescent="0.3"/>
  <cols>
    <col min="1" max="1" width="2" customWidth="1"/>
    <col min="2" max="2" width="44" customWidth="1"/>
    <col min="3" max="3" width="15" customWidth="1"/>
    <col min="4" max="5" width="17" customWidth="1"/>
    <col min="6" max="6" width="16" customWidth="1"/>
    <col min="7" max="7" width="4" customWidth="1"/>
    <col min="8" max="8" width="34" customWidth="1"/>
  </cols>
  <sheetData>
    <row r="1" spans="2:8" ht="7.95" customHeight="1" x14ac:dyDescent="0.3"/>
    <row r="2" spans="2:8" ht="30" customHeight="1" x14ac:dyDescent="0.3">
      <c r="B2" s="101" t="s">
        <v>121</v>
      </c>
      <c r="C2" s="97"/>
      <c r="D2" s="97"/>
      <c r="E2" s="97"/>
      <c r="F2" s="97"/>
      <c r="G2" s="97"/>
      <c r="H2" s="97"/>
    </row>
    <row r="3" spans="2:8" ht="22.05" customHeight="1" x14ac:dyDescent="0.3">
      <c r="B3" s="104" t="s">
        <v>122</v>
      </c>
      <c r="C3" s="105"/>
      <c r="D3" s="105"/>
      <c r="E3" s="105"/>
      <c r="F3" s="105"/>
      <c r="G3" s="105"/>
      <c r="H3" s="105"/>
    </row>
    <row r="5" spans="2:8" ht="19.95" customHeight="1" x14ac:dyDescent="0.3">
      <c r="B5" s="102" t="s">
        <v>123</v>
      </c>
      <c r="C5" s="103"/>
      <c r="D5" s="103"/>
      <c r="E5" s="103"/>
      <c r="F5" s="103"/>
      <c r="G5" s="103"/>
      <c r="H5" s="103"/>
    </row>
    <row r="6" spans="2:8" ht="30" customHeight="1" x14ac:dyDescent="0.3">
      <c r="B6" s="3" t="s">
        <v>124</v>
      </c>
      <c r="C6" s="3" t="s">
        <v>125</v>
      </c>
      <c r="D6" s="3" t="s">
        <v>126</v>
      </c>
      <c r="E6" s="3" t="s">
        <v>127</v>
      </c>
      <c r="F6" s="3" t="s">
        <v>128</v>
      </c>
    </row>
    <row r="7" spans="2:8" ht="25.95" customHeight="1" x14ac:dyDescent="0.3">
      <c r="B7" s="17"/>
      <c r="C7" s="30"/>
      <c r="D7" s="30"/>
      <c r="E7" s="30"/>
      <c r="F7" s="32" t="str">
        <f>IF(OR(D7="",E7=""),"",IF(IF(D7="Mucho",3,IF(D7="Algo",2,1))*IF(E7="Ninguna",3,IF(E7="Alguna",2,1))&gt;=6,"PROBAR YA",IF(IF(D7="Mucho",3,IF(D7="Algo",2,1))*IF(E7="Ninguna",3,IF(E7="Alguna",2,1))&gt;=3,"Probar luego","Vigilar")))</f>
        <v/>
      </c>
      <c r="H7" s="107" t="str">
        <f>IF(Tipo="OSFL","Ej.: «Creo que un supermercado nos donará excedentes cada semana». Tipo: Solución. Pierdo: Mucho. Evidencia: Alguna → PROBAR YA","Ej.: «Creo que los colmados pagarán $12 por bolsa de café local». Tipo: Financiero. Pierdo: Mucho. Evidencia: Ninguna → PROBAR YA")</f>
        <v>Ej.: «Creo que los colmados pagarán $12 por bolsa de café local». Tipo: Financiero. Pierdo: Mucho. Evidencia: Ninguna → PROBAR YA</v>
      </c>
    </row>
    <row r="8" spans="2:8" ht="25.95" customHeight="1" x14ac:dyDescent="0.3">
      <c r="B8" s="17"/>
      <c r="C8" s="30"/>
      <c r="D8" s="30"/>
      <c r="E8" s="30"/>
      <c r="F8" s="32" t="str">
        <f>IF(OR(D8="",E8=""),"",IF(IF(D8="Mucho",3,IF(D8="Algo",2,1))*IF(E8="Ninguna",3,IF(E8="Alguna",2,1))&gt;=6,"PROBAR YA",IF(IF(D8="Mucho",3,IF(D8="Algo",2,1))*IF(E8="Ninguna",3,IF(E8="Alguna",2,1))&gt;=3,"Probar luego","Vigilar")))</f>
        <v/>
      </c>
      <c r="H8" s="91"/>
    </row>
    <row r="9" spans="2:8" ht="25.95" customHeight="1" x14ac:dyDescent="0.3">
      <c r="B9" s="17"/>
      <c r="C9" s="30"/>
      <c r="D9" s="30"/>
      <c r="E9" s="30"/>
      <c r="F9" s="32" t="str">
        <f>IF(OR(D9="",E9=""),"",IF(IF(D9="Mucho",3,IF(D9="Algo",2,1))*IF(E9="Ninguna",3,IF(E9="Alguna",2,1))&gt;=6,"PROBAR YA",IF(IF(D9="Mucho",3,IF(D9="Algo",2,1))*IF(E9="Ninguna",3,IF(E9="Alguna",2,1))&gt;=3,"Probar luego","Vigilar")))</f>
        <v/>
      </c>
      <c r="H9" s="91"/>
    </row>
    <row r="10" spans="2:8" ht="25.95" customHeight="1" x14ac:dyDescent="0.3">
      <c r="B10" s="17"/>
      <c r="C10" s="30"/>
      <c r="D10" s="30"/>
      <c r="E10" s="30"/>
      <c r="F10" s="32" t="str">
        <f>IF(OR(D10="",E10=""),"",IF(IF(D10="Mucho",3,IF(D10="Algo",2,1))*IF(E10="Ninguna",3,IF(E10="Alguna",2,1))&gt;=6,"PROBAR YA",IF(IF(D10="Mucho",3,IF(D10="Algo",2,1))*IF(E10="Ninguna",3,IF(E10="Alguna",2,1))&gt;=3,"Probar luego","Vigilar")))</f>
        <v/>
      </c>
      <c r="H10" s="91"/>
    </row>
    <row r="11" spans="2:8" ht="25.95" customHeight="1" x14ac:dyDescent="0.3">
      <c r="B11" s="17"/>
      <c r="C11" s="30"/>
      <c r="D11" s="30"/>
      <c r="E11" s="30"/>
      <c r="F11" s="32" t="str">
        <f>IF(OR(D11="",E11=""),"",IF(IF(D11="Mucho",3,IF(D11="Algo",2,1))*IF(E11="Ninguna",3,IF(E11="Alguna",2,1))&gt;=6,"PROBAR YA",IF(IF(D11="Mucho",3,IF(D11="Algo",2,1))*IF(E11="Ninguna",3,IF(E11="Alguna",2,1))&gt;=3,"Probar luego","Vigilar")))</f>
        <v/>
      </c>
      <c r="H11" s="91"/>
    </row>
    <row r="13" spans="2:8" ht="19.95" customHeight="1" x14ac:dyDescent="0.3">
      <c r="B13" s="123" t="s">
        <v>129</v>
      </c>
      <c r="C13" s="105"/>
      <c r="D13" s="105"/>
      <c r="E13" s="105"/>
      <c r="F13" s="105"/>
      <c r="G13" s="105"/>
      <c r="H13" s="105"/>
    </row>
    <row r="14" spans="2:8" ht="34.049999999999997" customHeight="1" x14ac:dyDescent="0.3">
      <c r="B14" s="16" t="s">
        <v>130</v>
      </c>
      <c r="C14" s="122"/>
      <c r="D14" s="122"/>
      <c r="E14" s="122"/>
      <c r="F14" s="122"/>
      <c r="H14" s="18" t="str">
        <f>IF(Tipo="OSFL","Ej.: ¿Cuántas veces la semana pasada comió una comida caliente?","Ej.: ¿Dónde compraste el café la última vez y cuánto pagaste?")</f>
        <v>Ej.: ¿Dónde compraste el café la última vez y cuánto pagaste?</v>
      </c>
    </row>
    <row r="15" spans="2:8" ht="34.049999999999997" customHeight="1" x14ac:dyDescent="0.3">
      <c r="B15" s="16" t="s">
        <v>131</v>
      </c>
      <c r="C15" s="122"/>
      <c r="D15" s="122"/>
      <c r="E15" s="122"/>
      <c r="F15" s="122"/>
      <c r="H15" s="18" t="str">
        <f>IF(Tipo="OSFL","Ej.: ¿Quién le ayuda hoy con la comida y qué pasa cuando no puede?","Ej.: ¿Qué fue lo más difícil la última vez que se te acabó el inventario?")</f>
        <v>Ej.: ¿Qué fue lo más difícil la última vez que se te acabó el inventario?</v>
      </c>
    </row>
    <row r="16" spans="2:8" ht="34.049999999999997" customHeight="1" x14ac:dyDescent="0.3">
      <c r="B16" s="16" t="s">
        <v>132</v>
      </c>
      <c r="C16" s="122"/>
      <c r="D16" s="122"/>
      <c r="E16" s="122"/>
      <c r="F16" s="122"/>
      <c r="H16" s="18" t="str">
        <f>IF(Tipo="OSFL","Ej.: ¿Ha recibido ayuda de otra organización? ¿Cómo fue?","Ej.: ¿Qué has hecho para resolverlo? ¿Cuánto te costó?")</f>
        <v>Ej.: ¿Qué has hecho para resolverlo? ¿Cuánto te costó?</v>
      </c>
    </row>
    <row r="17" spans="2:8" ht="30" customHeight="1" x14ac:dyDescent="0.3">
      <c r="B17" s="16" t="s">
        <v>133</v>
      </c>
      <c r="C17" s="122"/>
      <c r="D17" s="122"/>
      <c r="E17" s="122"/>
      <c r="F17" s="122"/>
    </row>
    <row r="18" spans="2:8" x14ac:dyDescent="0.3">
      <c r="B18" s="16" t="s">
        <v>134</v>
      </c>
      <c r="C18" s="33"/>
    </row>
    <row r="20" spans="2:8" ht="19.95" customHeight="1" x14ac:dyDescent="0.3">
      <c r="B20" s="106" t="s">
        <v>135</v>
      </c>
      <c r="C20" s="97"/>
      <c r="D20" s="97"/>
      <c r="E20" s="97"/>
      <c r="F20" s="97"/>
      <c r="G20" s="97"/>
      <c r="H20" s="97"/>
    </row>
    <row r="21" spans="2:8" ht="28.05" customHeight="1" x14ac:dyDescent="0.3">
      <c r="B21" s="16" t="s">
        <v>136</v>
      </c>
      <c r="C21" s="122"/>
      <c r="D21" s="122"/>
      <c r="E21" s="122"/>
      <c r="F21" s="122"/>
      <c r="H21" s="18" t="str">
        <f>IF(Tipo="OSFL","Ej.: 20 almuerzos diarios por 2 semanas con la cocina de la parroquia","Ej.: 30 bolsas en consignación en 3 colmados por 2 semanas")</f>
        <v>Ej.: 30 bolsas en consignación en 3 colmados por 2 semanas</v>
      </c>
    </row>
    <row r="22" spans="2:8" ht="28.05" customHeight="1" x14ac:dyDescent="0.3">
      <c r="B22" s="16" t="s">
        <v>137</v>
      </c>
      <c r="C22" s="34"/>
      <c r="H22" s="18" t="str">
        <f>IF(Tipo="OSFL","Ej.: $400 en ingredientes y envases","Ej.: $150 en café verde y empaque")</f>
        <v>Ej.: $150 en café verde y empaque</v>
      </c>
    </row>
    <row r="23" spans="2:8" ht="28.05" customHeight="1" x14ac:dyDescent="0.3">
      <c r="B23" s="16" t="s">
        <v>138</v>
      </c>
      <c r="C23" s="35"/>
      <c r="H23" s="18" t="str">
        <f>IF(Tipo="OSFL","Ej.: 14","Ej.: 14")</f>
        <v>Ej.: 14</v>
      </c>
    </row>
    <row r="24" spans="2:8" ht="28.05" customHeight="1" x14ac:dyDescent="0.3">
      <c r="B24" s="16" t="s">
        <v>139</v>
      </c>
      <c r="C24" s="36"/>
      <c r="H24" s="18" t="str">
        <f>IF(Tipo="OSFL","Ej.: Entregar 200 almuerzos y lograr 2 donantes recurrentes","Ej.: Vender 24 de 30 bolsas")</f>
        <v>Ej.: Vender 24 de 30 bolsas</v>
      </c>
    </row>
    <row r="25" spans="2:8" ht="28.05" customHeight="1" x14ac:dyDescent="0.3">
      <c r="B25" s="16" t="s">
        <v>140</v>
      </c>
      <c r="C25" s="37"/>
    </row>
    <row r="27" spans="2:8" ht="19.95" customHeight="1" x14ac:dyDescent="0.3">
      <c r="B27" s="126" t="s">
        <v>141</v>
      </c>
      <c r="C27" s="111"/>
      <c r="D27" s="111"/>
      <c r="E27" s="111"/>
      <c r="F27" s="111"/>
      <c r="G27" s="111"/>
      <c r="H27" s="111"/>
    </row>
    <row r="28" spans="2:8" x14ac:dyDescent="0.3">
      <c r="B28" s="16" t="s">
        <v>142</v>
      </c>
      <c r="C28" s="35"/>
    </row>
    <row r="29" spans="2:8" x14ac:dyDescent="0.3">
      <c r="B29" s="16" t="s">
        <v>143</v>
      </c>
      <c r="C29" s="36"/>
    </row>
    <row r="30" spans="2:8" ht="24" customHeight="1" x14ac:dyDescent="0.3">
      <c r="B30" s="16" t="s">
        <v>144</v>
      </c>
      <c r="C30" s="100"/>
      <c r="D30" s="100"/>
      <c r="E30" s="100"/>
      <c r="F30" s="100"/>
    </row>
    <row r="31" spans="2:8" ht="24" customHeight="1" x14ac:dyDescent="0.3">
      <c r="C31" s="100"/>
      <c r="D31" s="100"/>
      <c r="E31" s="100"/>
      <c r="F31" s="100"/>
    </row>
    <row r="32" spans="2:8" ht="25.95" customHeight="1" x14ac:dyDescent="0.3">
      <c r="B32" s="31" t="s">
        <v>145</v>
      </c>
      <c r="C32" s="125" t="str">
        <f>IF(OR(C24="",C29=""),"(Escribe la meta numérica y el resultado real)",IF(C29&gt;=C24,"VERDE · PERSEVERAR: la evidencia apoya la idea. Pasa a los números (pestaña 6).","ROJO · PIVOTAR O AJUSTAR: logré "&amp;TEXT(C29/C24,"0%")&amp;" de la meta. Cambia una variable y vuelve a probar."))</f>
        <v>(Escribe la meta numérica y el resultado real)</v>
      </c>
      <c r="D32" s="91"/>
      <c r="E32" s="91"/>
      <c r="F32" s="91"/>
      <c r="G32" s="91"/>
      <c r="H32" s="91"/>
    </row>
    <row r="34" spans="2:8" ht="19.95" customHeight="1" x14ac:dyDescent="0.3">
      <c r="B34" s="102" t="s">
        <v>146</v>
      </c>
      <c r="C34" s="103"/>
      <c r="D34" s="103"/>
      <c r="E34" s="103"/>
      <c r="F34" s="103"/>
      <c r="G34" s="103"/>
      <c r="H34" s="103"/>
    </row>
    <row r="35" spans="2:8" ht="24" customHeight="1" x14ac:dyDescent="0.3">
      <c r="B35" s="127" t="str">
        <f>"Actúa como un consultor de negocios con experiencia en Puerto Rico. Mi organización es una "&amp;Tipo&amp;" llamada "&amp;IF('1 Mi Ficha'!C6="","[nombre]",'1 Mi Ficha'!C6)&amp;" que se dedica a "&amp;IF('1 Mi Ficha'!C8="","[a qué me dedico]",'1 Mi Ficha'!C8)&amp;" en "&amp;IF('1 Mi Ficha'!C10="","Naranjito",'1 Mi Ficha'!C10)&amp;". Mi propuesta de valor es: "&amp;IF(COUNTA('3 Propuesta y Filtro'!C6:C10)&lt;5,"[mi propuesta]",'3 Propuesta y Filtro'!C11)&amp;_xlfn._LONGTEXT(". Contesta al grano en 3 puntos: 1) dos riesgos de permisos, costos u operación en Puerto Rico que no he considerado; 2) una idea de mensaje por WhatsApp o Instagram para la temporada de noviembre a Reyes; 3) cómo sería un Producto Mínimo Viable que pueda"," probar la semana que viene por menos de $200. Sé práctico.")</f>
        <v>Actúa como un consultor de negocios con experiencia en Puerto Rico. Mi organización es una PyME llamada [nombre] que se dedica a [a qué me dedico] en Naranjito. Mi propuesta de valor es: [mi propuesta]. Contesta al grano en 3 puntos: 1) dos riesgos de permisos, costos u operación en Puerto Rico que no he considerado; 2) una idea de mensaje por WhatsApp o Instagram para la temporada de noviembre a Reyes; 3) cómo sería un Producto Mínimo Viable que pueda probar la semana que viene por menos de $200. Sé práctico.</v>
      </c>
      <c r="C35" s="91"/>
      <c r="D35" s="91"/>
      <c r="E35" s="91"/>
      <c r="F35" s="91"/>
      <c r="G35" s="91"/>
      <c r="H35" s="91"/>
    </row>
    <row r="36" spans="2:8" ht="24" customHeight="1" x14ac:dyDescent="0.3">
      <c r="B36" s="91"/>
      <c r="C36" s="91"/>
      <c r="D36" s="91"/>
      <c r="E36" s="91"/>
      <c r="F36" s="91"/>
      <c r="G36" s="91"/>
      <c r="H36" s="91"/>
    </row>
    <row r="37" spans="2:8" ht="24" customHeight="1" x14ac:dyDescent="0.3">
      <c r="B37" s="91"/>
      <c r="C37" s="91"/>
      <c r="D37" s="91"/>
      <c r="E37" s="91"/>
      <c r="F37" s="91"/>
      <c r="G37" s="91"/>
      <c r="H37" s="91"/>
    </row>
    <row r="38" spans="2:8" ht="24" customHeight="1" x14ac:dyDescent="0.3">
      <c r="B38" s="91"/>
      <c r="C38" s="91"/>
      <c r="D38" s="91"/>
      <c r="E38" s="91"/>
      <c r="F38" s="91"/>
      <c r="G38" s="91"/>
      <c r="H38" s="91"/>
    </row>
    <row r="39" spans="2:8" x14ac:dyDescent="0.3">
      <c r="B39" s="107" t="s">
        <v>147</v>
      </c>
      <c r="C39" s="91"/>
      <c r="D39" s="91"/>
      <c r="E39" s="91"/>
      <c r="F39" s="91"/>
      <c r="G39" s="91"/>
      <c r="H39" s="91"/>
    </row>
  </sheetData>
  <sheetProtection sheet="1" formatCells="0" formatColumns="0" formatRows="0"/>
  <mergeCells count="17">
    <mergeCell ref="B2:H2"/>
    <mergeCell ref="C15:F15"/>
    <mergeCell ref="B3:H3"/>
    <mergeCell ref="B5:H5"/>
    <mergeCell ref="B20:H20"/>
    <mergeCell ref="C14:F14"/>
    <mergeCell ref="B13:H13"/>
    <mergeCell ref="H7:H11"/>
    <mergeCell ref="B34:H34"/>
    <mergeCell ref="B39:H39"/>
    <mergeCell ref="C21:F21"/>
    <mergeCell ref="C16:F16"/>
    <mergeCell ref="C32:H32"/>
    <mergeCell ref="B35:H38"/>
    <mergeCell ref="C17:F17"/>
    <mergeCell ref="C30:F31"/>
    <mergeCell ref="B27:H27"/>
  </mergeCells>
  <conditionalFormatting sqref="C32:H32">
    <cfRule type="expression" dxfId="17" priority="1">
      <formula>LEFT($C$32,5)="VERDE"</formula>
    </cfRule>
    <cfRule type="expression" dxfId="16" priority="2">
      <formula>LEFT($C$32,4)="ROJO"</formula>
    </cfRule>
  </conditionalFormatting>
  <dataValidations count="3">
    <dataValidation type="list" allowBlank="1" errorTitle="Opción no válida" error="Escoge una opción de la lista." sqref="C7:C11" xr:uid="{00000000-0002-0000-0400-000000000000}">
      <formula1>"Problema,Solución,Financiero"</formula1>
    </dataValidation>
    <dataValidation type="list" allowBlank="1" errorTitle="Opción no válida" error="Escoge una opción de la lista." sqref="D7:D11" xr:uid="{00000000-0002-0000-0400-000001000000}">
      <formula1>"Mucho,Algo,Poco"</formula1>
    </dataValidation>
    <dataValidation type="list" allowBlank="1" errorTitle="Opción no válida" error="Escoge una opción de la lista." sqref="E7:E11" xr:uid="{00000000-0002-0000-0400-000002000000}">
      <formula1>"Ninguna,Alguna,Mucha"</formula1>
    </dataValidation>
  </dataValidations>
  <pageMargins left="0.4" right="0.4" top="0.5" bottom="0.5" header="0.5" footer="0.5"/>
  <pageSetup fitToHeight="0" orientation="portrait"/>
  <headerFooter>
    <oddFooter>&amp;C&amp;8 Mi Plan de Negocio Preliminar · Asesores Financieros Comunitarios, Inc. · Página &amp;P de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325F62"/>
    <pageSetUpPr fitToPage="1"/>
  </sheetPr>
  <dimension ref="B1:H32"/>
  <sheetViews>
    <sheetView showGridLines="0" workbookViewId="0"/>
  </sheetViews>
  <sheetFormatPr defaultRowHeight="14.4" x14ac:dyDescent="0.3"/>
  <cols>
    <col min="1" max="1" width="2" customWidth="1"/>
    <col min="2" max="2" width="46" customWidth="1"/>
    <col min="3" max="3" width="34" customWidth="1"/>
    <col min="4" max="5" width="11" customWidth="1"/>
    <col min="6" max="6" width="16" customWidth="1"/>
    <col min="7" max="7" width="13" customWidth="1"/>
    <col min="8" max="8" width="26" customWidth="1"/>
  </cols>
  <sheetData>
    <row r="1" spans="2:8" ht="7.95" customHeight="1" x14ac:dyDescent="0.3"/>
    <row r="2" spans="2:8" ht="30" customHeight="1" x14ac:dyDescent="0.3">
      <c r="B2" s="101" t="s">
        <v>148</v>
      </c>
      <c r="C2" s="97"/>
      <c r="D2" s="97"/>
      <c r="E2" s="97"/>
      <c r="F2" s="97"/>
      <c r="G2" s="97"/>
      <c r="H2" s="97"/>
    </row>
    <row r="3" spans="2:8" ht="22.05" customHeight="1" x14ac:dyDescent="0.3">
      <c r="B3" s="104" t="s">
        <v>149</v>
      </c>
      <c r="C3" s="105"/>
      <c r="D3" s="105"/>
      <c r="E3" s="105"/>
      <c r="F3" s="105"/>
      <c r="G3" s="105"/>
      <c r="H3" s="105"/>
    </row>
    <row r="5" spans="2:8" ht="19.95" customHeight="1" x14ac:dyDescent="0.3">
      <c r="B5" s="106" t="s">
        <v>150</v>
      </c>
      <c r="C5" s="97"/>
      <c r="D5" s="97"/>
      <c r="E5" s="97"/>
      <c r="F5" s="97"/>
      <c r="G5" s="97"/>
      <c r="H5" s="97"/>
    </row>
    <row r="6" spans="2:8" x14ac:dyDescent="0.3">
      <c r="B6" s="3" t="s">
        <v>151</v>
      </c>
      <c r="C6" s="3" t="s">
        <v>152</v>
      </c>
      <c r="D6" s="3" t="s">
        <v>153</v>
      </c>
      <c r="E6" s="3" t="s">
        <v>154</v>
      </c>
      <c r="F6" s="3" t="s">
        <v>14</v>
      </c>
      <c r="G6" s="3" t="s">
        <v>155</v>
      </c>
      <c r="H6" s="3" t="s">
        <v>156</v>
      </c>
    </row>
    <row r="7" spans="2:8" ht="25.95" customHeight="1" x14ac:dyDescent="0.3">
      <c r="B7" s="7" t="s">
        <v>157</v>
      </c>
      <c r="C7" s="38" t="s">
        <v>158</v>
      </c>
      <c r="D7" s="39" t="s">
        <v>159</v>
      </c>
      <c r="E7" s="40" t="str">
        <f t="shared" ref="E7:E22" si="0">IF(OR(D7="Ambos",D7=Tipo),"Sí","No")</f>
        <v>Sí</v>
      </c>
      <c r="F7" s="30"/>
      <c r="G7" s="33"/>
      <c r="H7" s="17"/>
    </row>
    <row r="8" spans="2:8" ht="25.95" customHeight="1" x14ac:dyDescent="0.3">
      <c r="B8" s="7" t="s">
        <v>160</v>
      </c>
      <c r="C8" s="38" t="s">
        <v>161</v>
      </c>
      <c r="D8" s="39" t="s">
        <v>159</v>
      </c>
      <c r="E8" s="40" t="str">
        <f t="shared" si="0"/>
        <v>Sí</v>
      </c>
      <c r="F8" s="30"/>
      <c r="G8" s="33"/>
      <c r="H8" s="17"/>
    </row>
    <row r="9" spans="2:8" ht="25.95" customHeight="1" x14ac:dyDescent="0.3">
      <c r="B9" s="7" t="s">
        <v>162</v>
      </c>
      <c r="C9" s="38" t="s">
        <v>163</v>
      </c>
      <c r="D9" s="39" t="s">
        <v>159</v>
      </c>
      <c r="E9" s="40" t="str">
        <f t="shared" si="0"/>
        <v>Sí</v>
      </c>
      <c r="F9" s="30"/>
      <c r="G9" s="33"/>
      <c r="H9" s="17"/>
    </row>
    <row r="10" spans="2:8" ht="25.95" customHeight="1" x14ac:dyDescent="0.3">
      <c r="B10" s="7" t="s">
        <v>164</v>
      </c>
      <c r="C10" s="38" t="s">
        <v>165</v>
      </c>
      <c r="D10" s="39" t="s">
        <v>159</v>
      </c>
      <c r="E10" s="40" t="str">
        <f t="shared" si="0"/>
        <v>Sí</v>
      </c>
      <c r="F10" s="30"/>
      <c r="G10" s="33"/>
      <c r="H10" s="17"/>
    </row>
    <row r="11" spans="2:8" ht="25.95" customHeight="1" x14ac:dyDescent="0.3">
      <c r="B11" s="7" t="s">
        <v>166</v>
      </c>
      <c r="C11" s="38" t="s">
        <v>167</v>
      </c>
      <c r="D11" s="39" t="s">
        <v>62</v>
      </c>
      <c r="E11" s="40" t="str">
        <f t="shared" si="0"/>
        <v>Sí</v>
      </c>
      <c r="F11" s="30"/>
      <c r="G11" s="33"/>
      <c r="H11" s="17"/>
    </row>
    <row r="12" spans="2:8" ht="25.95" customHeight="1" x14ac:dyDescent="0.3">
      <c r="B12" s="7" t="s">
        <v>168</v>
      </c>
      <c r="C12" s="38" t="s">
        <v>169</v>
      </c>
      <c r="D12" s="39" t="s">
        <v>62</v>
      </c>
      <c r="E12" s="40" t="str">
        <f t="shared" si="0"/>
        <v>Sí</v>
      </c>
      <c r="F12" s="30"/>
      <c r="G12" s="33"/>
      <c r="H12" s="17"/>
    </row>
    <row r="13" spans="2:8" ht="25.95" customHeight="1" x14ac:dyDescent="0.3">
      <c r="B13" s="7" t="s">
        <v>170</v>
      </c>
      <c r="C13" s="38" t="s">
        <v>171</v>
      </c>
      <c r="D13" s="39" t="s">
        <v>159</v>
      </c>
      <c r="E13" s="40" t="str">
        <f t="shared" si="0"/>
        <v>Sí</v>
      </c>
      <c r="F13" s="30"/>
      <c r="G13" s="33"/>
      <c r="H13" s="17"/>
    </row>
    <row r="14" spans="2:8" ht="25.95" customHeight="1" x14ac:dyDescent="0.3">
      <c r="B14" s="7" t="s">
        <v>172</v>
      </c>
      <c r="C14" s="38" t="s">
        <v>173</v>
      </c>
      <c r="D14" s="39" t="s">
        <v>159</v>
      </c>
      <c r="E14" s="40" t="str">
        <f t="shared" si="0"/>
        <v>Sí</v>
      </c>
      <c r="F14" s="30"/>
      <c r="G14" s="33"/>
      <c r="H14" s="17"/>
    </row>
    <row r="15" spans="2:8" ht="25.95" customHeight="1" x14ac:dyDescent="0.3">
      <c r="B15" s="7" t="s">
        <v>174</v>
      </c>
      <c r="C15" s="38" t="s">
        <v>175</v>
      </c>
      <c r="D15" s="39" t="s">
        <v>159</v>
      </c>
      <c r="E15" s="40" t="str">
        <f t="shared" si="0"/>
        <v>Sí</v>
      </c>
      <c r="F15" s="30"/>
      <c r="G15" s="33"/>
      <c r="H15" s="17"/>
    </row>
    <row r="16" spans="2:8" ht="25.95" customHeight="1" x14ac:dyDescent="0.3">
      <c r="B16" s="7" t="s">
        <v>176</v>
      </c>
      <c r="C16" s="38" t="s">
        <v>177</v>
      </c>
      <c r="D16" s="39" t="s">
        <v>159</v>
      </c>
      <c r="E16" s="40" t="str">
        <f t="shared" si="0"/>
        <v>Sí</v>
      </c>
      <c r="F16" s="30"/>
      <c r="G16" s="33"/>
      <c r="H16" s="17"/>
    </row>
    <row r="17" spans="2:8" ht="25.95" customHeight="1" x14ac:dyDescent="0.3">
      <c r="B17" s="7" t="s">
        <v>178</v>
      </c>
      <c r="C17" s="38" t="s">
        <v>179</v>
      </c>
      <c r="D17" s="39" t="s">
        <v>159</v>
      </c>
      <c r="E17" s="40" t="str">
        <f t="shared" si="0"/>
        <v>Sí</v>
      </c>
      <c r="F17" s="30"/>
      <c r="G17" s="33"/>
      <c r="H17" s="17"/>
    </row>
    <row r="18" spans="2:8" ht="25.95" customHeight="1" x14ac:dyDescent="0.3">
      <c r="B18" s="7" t="s">
        <v>180</v>
      </c>
      <c r="C18" s="38" t="s">
        <v>181</v>
      </c>
      <c r="D18" s="39" t="s">
        <v>159</v>
      </c>
      <c r="E18" s="40" t="str">
        <f t="shared" si="0"/>
        <v>Sí</v>
      </c>
      <c r="F18" s="30"/>
      <c r="G18" s="33"/>
      <c r="H18" s="17"/>
    </row>
    <row r="19" spans="2:8" ht="25.95" customHeight="1" x14ac:dyDescent="0.3">
      <c r="B19" s="7" t="s">
        <v>182</v>
      </c>
      <c r="C19" s="38" t="s">
        <v>183</v>
      </c>
      <c r="D19" s="39" t="s">
        <v>184</v>
      </c>
      <c r="E19" s="40" t="str">
        <f t="shared" si="0"/>
        <v>No</v>
      </c>
      <c r="F19" s="30"/>
      <c r="G19" s="33"/>
      <c r="H19" s="17"/>
    </row>
    <row r="20" spans="2:8" ht="25.95" customHeight="1" x14ac:dyDescent="0.3">
      <c r="B20" s="7" t="s">
        <v>185</v>
      </c>
      <c r="C20" s="38" t="s">
        <v>186</v>
      </c>
      <c r="D20" s="39" t="s">
        <v>184</v>
      </c>
      <c r="E20" s="40" t="str">
        <f t="shared" si="0"/>
        <v>No</v>
      </c>
      <c r="F20" s="30"/>
      <c r="G20" s="33"/>
      <c r="H20" s="17"/>
    </row>
    <row r="21" spans="2:8" ht="25.95" customHeight="1" x14ac:dyDescent="0.3">
      <c r="B21" s="7" t="s">
        <v>187</v>
      </c>
      <c r="C21" s="38" t="s">
        <v>188</v>
      </c>
      <c r="D21" s="39" t="s">
        <v>184</v>
      </c>
      <c r="E21" s="40" t="str">
        <f t="shared" si="0"/>
        <v>No</v>
      </c>
      <c r="F21" s="30"/>
      <c r="G21" s="33"/>
      <c r="H21" s="17"/>
    </row>
    <row r="22" spans="2:8" ht="25.95" customHeight="1" x14ac:dyDescent="0.3">
      <c r="B22" s="7" t="s">
        <v>189</v>
      </c>
      <c r="C22" s="38" t="s">
        <v>190</v>
      </c>
      <c r="D22" s="39" t="s">
        <v>159</v>
      </c>
      <c r="E22" s="40" t="str">
        <f t="shared" si="0"/>
        <v>Sí</v>
      </c>
      <c r="F22" s="30"/>
      <c r="G22" s="33"/>
      <c r="H22" s="17"/>
    </row>
    <row r="24" spans="2:8" x14ac:dyDescent="0.3">
      <c r="B24" s="31" t="s">
        <v>191</v>
      </c>
      <c r="C24" s="41">
        <f>COUNTIFS(E7:E22,"Sí",F7:F22,"&lt;&gt;Completado",F7:F22,"&lt;&gt;No aplica")</f>
        <v>13</v>
      </c>
    </row>
    <row r="25" spans="2:8" ht="40.049999999999997" customHeight="1" x14ac:dyDescent="0.3">
      <c r="B25" s="107" t="s">
        <v>192</v>
      </c>
      <c r="C25" s="91"/>
      <c r="D25" s="91"/>
      <c r="E25" s="91"/>
      <c r="F25" s="91"/>
      <c r="G25" s="91"/>
      <c r="H25" s="91"/>
    </row>
    <row r="27" spans="2:8" ht="19.95" customHeight="1" x14ac:dyDescent="0.3">
      <c r="B27" s="102" t="s">
        <v>193</v>
      </c>
      <c r="C27" s="103"/>
      <c r="D27" s="103"/>
      <c r="E27" s="103"/>
      <c r="F27" s="103"/>
      <c r="G27" s="103"/>
      <c r="H27" s="103"/>
    </row>
    <row r="28" spans="2:8" ht="30" customHeight="1" x14ac:dyDescent="0.3">
      <c r="B28" s="42" t="s">
        <v>194</v>
      </c>
      <c r="C28" s="122"/>
      <c r="D28" s="122"/>
      <c r="E28" s="122"/>
      <c r="F28" s="122"/>
      <c r="G28" s="122"/>
      <c r="H28" s="15" t="s">
        <v>195</v>
      </c>
    </row>
    <row r="29" spans="2:8" ht="30" customHeight="1" x14ac:dyDescent="0.3">
      <c r="B29" s="42" t="s">
        <v>196</v>
      </c>
      <c r="C29" s="122"/>
      <c r="D29" s="122"/>
      <c r="E29" s="122"/>
      <c r="F29" s="122"/>
      <c r="G29" s="122"/>
      <c r="H29" s="15" t="s">
        <v>197</v>
      </c>
    </row>
    <row r="30" spans="2:8" ht="30" customHeight="1" x14ac:dyDescent="0.3">
      <c r="B30" s="42" t="s">
        <v>198</v>
      </c>
      <c r="C30" s="122"/>
      <c r="D30" s="122"/>
      <c r="E30" s="122"/>
      <c r="F30" s="122"/>
      <c r="G30" s="122"/>
      <c r="H30" s="15" t="s">
        <v>199</v>
      </c>
    </row>
    <row r="31" spans="2:8" ht="30" customHeight="1" x14ac:dyDescent="0.3">
      <c r="B31" s="42" t="s">
        <v>200</v>
      </c>
      <c r="C31" s="122"/>
      <c r="D31" s="122"/>
      <c r="E31" s="122"/>
      <c r="F31" s="122"/>
      <c r="G31" s="122"/>
      <c r="H31" s="15" t="s">
        <v>201</v>
      </c>
    </row>
    <row r="32" spans="2:8" ht="30" customHeight="1" x14ac:dyDescent="0.3">
      <c r="B32" s="42" t="s">
        <v>202</v>
      </c>
      <c r="C32" s="122"/>
      <c r="D32" s="122"/>
      <c r="E32" s="122"/>
      <c r="F32" s="122"/>
      <c r="G32" s="122"/>
      <c r="H32" s="15" t="s">
        <v>203</v>
      </c>
    </row>
  </sheetData>
  <sheetProtection sheet="1" formatCells="0" formatColumns="0" formatRows="0"/>
  <mergeCells count="10">
    <mergeCell ref="B2:H2"/>
    <mergeCell ref="C31:G31"/>
    <mergeCell ref="B25:H25"/>
    <mergeCell ref="B3:H3"/>
    <mergeCell ref="B5:H5"/>
    <mergeCell ref="C29:G29"/>
    <mergeCell ref="C30:G30"/>
    <mergeCell ref="B27:H27"/>
    <mergeCell ref="C32:G32"/>
    <mergeCell ref="C28:G28"/>
  </mergeCells>
  <dataValidations count="1">
    <dataValidation type="list" allowBlank="1" errorTitle="Opción no válida" error="Escoge una opción de la lista." sqref="F7:F22" xr:uid="{00000000-0002-0000-0500-000000000000}">
      <formula1>"Pendiente,En proceso,Completado,No aplica"</formula1>
    </dataValidation>
  </dataValidations>
  <pageMargins left="0.4" right="0.4" top="0.5" bottom="0.5" header="0.5" footer="0.5"/>
  <pageSetup fitToHeight="0" orientation="landscape"/>
  <headerFooter>
    <oddFooter>&amp;C&amp;8 Mi Plan de Negocio Preliminar · Asesores Financieros Comunitarios, Inc. · Página &amp;P de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37B34A"/>
    <pageSetUpPr fitToPage="1"/>
  </sheetPr>
  <dimension ref="B1:F84"/>
  <sheetViews>
    <sheetView showGridLines="0" workbookViewId="0"/>
  </sheetViews>
  <sheetFormatPr defaultRowHeight="14.4" x14ac:dyDescent="0.3"/>
  <cols>
    <col min="1" max="1" width="2" customWidth="1"/>
    <col min="2" max="2" width="56" customWidth="1"/>
    <col min="3" max="3" width="16" customWidth="1"/>
    <col min="4" max="4" width="40" customWidth="1"/>
    <col min="5" max="5" width="16" customWidth="1"/>
    <col min="6" max="6" width="4" customWidth="1"/>
  </cols>
  <sheetData>
    <row r="1" spans="2:6" ht="7.95" customHeight="1" x14ac:dyDescent="0.3"/>
    <row r="2" spans="2:6" ht="30" customHeight="1" x14ac:dyDescent="0.3">
      <c r="B2" s="101" t="s">
        <v>204</v>
      </c>
      <c r="C2" s="97"/>
      <c r="D2" s="97"/>
      <c r="E2" s="97"/>
      <c r="F2" s="97"/>
    </row>
    <row r="3" spans="2:6" ht="22.05" customHeight="1" x14ac:dyDescent="0.3">
      <c r="B3" s="104" t="s">
        <v>205</v>
      </c>
      <c r="C3" s="105"/>
      <c r="D3" s="105"/>
      <c r="E3" s="105"/>
      <c r="F3" s="105"/>
    </row>
    <row r="5" spans="2:6" ht="30" customHeight="1" x14ac:dyDescent="0.3">
      <c r="B5" s="43" t="s">
        <v>206</v>
      </c>
      <c r="C5" s="129" t="str">
        <f>IF(Tipo="OSFL",IF(C65=0,"Completa la sección E","Cada "&amp;IF(C61="","unidad",C61)&amp;" cuesta $"&amp;TEXT(C65,"#,##0.00")&amp;". Brecha a recaudar: $"&amp;TEXT(C67,"#,##0")&amp;" al mes."),IF(C52=0,"Completa las secciones A y D","Necesito vender "&amp;TEXT(C52,"#,##0")&amp;" "&amp;IF(C47="","unidades",C47)&amp;" al mes ("&amp;C55&amp;" por día) para no perder."))</f>
        <v>Completa las secciones A y D</v>
      </c>
      <c r="D5" s="130"/>
      <c r="E5" s="130"/>
      <c r="F5" s="131"/>
    </row>
    <row r="7" spans="2:6" ht="19.95" customHeight="1" x14ac:dyDescent="0.3">
      <c r="B7" s="106" t="s">
        <v>207</v>
      </c>
      <c r="C7" s="97"/>
      <c r="D7" s="97"/>
      <c r="E7" s="97"/>
      <c r="F7" s="97"/>
    </row>
    <row r="8" spans="2:6" ht="19.95" customHeight="1" x14ac:dyDescent="0.3">
      <c r="B8" s="44" t="s">
        <v>208</v>
      </c>
      <c r="C8" s="45"/>
      <c r="D8" s="107" t="s">
        <v>209</v>
      </c>
    </row>
    <row r="9" spans="2:6" ht="19.95" customHeight="1" x14ac:dyDescent="0.3">
      <c r="B9" s="44" t="s">
        <v>210</v>
      </c>
      <c r="C9" s="46">
        <f>C44</f>
        <v>0</v>
      </c>
      <c r="D9" s="91"/>
    </row>
    <row r="10" spans="2:6" ht="19.95" customHeight="1" x14ac:dyDescent="0.3">
      <c r="B10" s="44" t="s">
        <v>211</v>
      </c>
      <c r="C10" s="45"/>
      <c r="D10" s="91"/>
    </row>
    <row r="11" spans="2:6" ht="19.95" customHeight="1" x14ac:dyDescent="0.3">
      <c r="B11" s="44" t="s">
        <v>212</v>
      </c>
      <c r="C11" s="45"/>
      <c r="D11" s="91"/>
    </row>
    <row r="12" spans="2:6" ht="19.95" customHeight="1" x14ac:dyDescent="0.3">
      <c r="B12" s="44" t="s">
        <v>213</v>
      </c>
      <c r="C12" s="46">
        <f>C39</f>
        <v>0</v>
      </c>
      <c r="D12" s="91"/>
    </row>
    <row r="13" spans="2:6" ht="19.95" customHeight="1" x14ac:dyDescent="0.3">
      <c r="B13" s="44" t="s">
        <v>214</v>
      </c>
      <c r="C13" s="45"/>
    </row>
    <row r="14" spans="2:6" ht="19.95" customHeight="1" x14ac:dyDescent="0.3">
      <c r="B14" s="44" t="s">
        <v>215</v>
      </c>
      <c r="C14" s="45"/>
    </row>
    <row r="15" spans="2:6" ht="19.95" customHeight="1" x14ac:dyDescent="0.3">
      <c r="B15" s="44" t="s">
        <v>216</v>
      </c>
      <c r="C15" s="45"/>
    </row>
    <row r="16" spans="2:6" ht="19.95" customHeight="1" x14ac:dyDescent="0.3">
      <c r="B16" s="44" t="s">
        <v>217</v>
      </c>
      <c r="C16" s="45"/>
    </row>
    <row r="17" spans="2:6" ht="19.95" customHeight="1" x14ac:dyDescent="0.3">
      <c r="B17" s="44" t="s">
        <v>218</v>
      </c>
      <c r="C17" s="45"/>
    </row>
    <row r="18" spans="2:6" ht="19.95" customHeight="1" x14ac:dyDescent="0.3">
      <c r="B18" s="44" t="s">
        <v>219</v>
      </c>
      <c r="C18" s="45"/>
    </row>
    <row r="19" spans="2:6" ht="19.95" customHeight="1" x14ac:dyDescent="0.3">
      <c r="B19" s="44" t="s">
        <v>220</v>
      </c>
      <c r="C19" s="45"/>
    </row>
    <row r="20" spans="2:6" ht="19.95" customHeight="1" x14ac:dyDescent="0.3">
      <c r="B20" s="44" t="s">
        <v>221</v>
      </c>
      <c r="C20" s="45"/>
    </row>
    <row r="21" spans="2:6" ht="19.95" customHeight="1" x14ac:dyDescent="0.3">
      <c r="B21" s="44" t="s">
        <v>222</v>
      </c>
      <c r="C21" s="45"/>
    </row>
    <row r="22" spans="2:6" ht="19.95" customHeight="1" x14ac:dyDescent="0.3">
      <c r="B22" s="31" t="s">
        <v>223</v>
      </c>
      <c r="C22" s="47">
        <f>SUM(C8:C21)</f>
        <v>0</v>
      </c>
    </row>
    <row r="23" spans="2:6" ht="19.95" customHeight="1" x14ac:dyDescent="0.3"/>
    <row r="24" spans="2:6" ht="19.95" customHeight="1" x14ac:dyDescent="0.3">
      <c r="B24" s="123" t="s">
        <v>224</v>
      </c>
      <c r="C24" s="105"/>
      <c r="D24" s="105"/>
      <c r="E24" s="105"/>
      <c r="F24" s="105"/>
    </row>
    <row r="25" spans="2:6" ht="19.95" customHeight="1" x14ac:dyDescent="0.3">
      <c r="B25" s="44" t="s">
        <v>225</v>
      </c>
      <c r="C25" s="48">
        <v>10.5</v>
      </c>
      <c r="D25" s="15" t="s">
        <v>226</v>
      </c>
    </row>
    <row r="26" spans="2:6" ht="19.95" customHeight="1" x14ac:dyDescent="0.3">
      <c r="B26" s="44" t="s">
        <v>227</v>
      </c>
      <c r="C26" s="35">
        <v>40</v>
      </c>
      <c r="D26" s="15"/>
    </row>
    <row r="27" spans="2:6" ht="19.95" customHeight="1" x14ac:dyDescent="0.3">
      <c r="B27" s="44" t="s">
        <v>228</v>
      </c>
      <c r="C27" s="35">
        <v>0</v>
      </c>
      <c r="D27" s="15" t="s">
        <v>229</v>
      </c>
    </row>
    <row r="28" spans="2:6" ht="19.95" customHeight="1" x14ac:dyDescent="0.3">
      <c r="B28" s="44" t="s">
        <v>230</v>
      </c>
      <c r="C28" s="49">
        <v>7.6499999999999999E-2</v>
      </c>
      <c r="D28" s="15" t="s">
        <v>231</v>
      </c>
    </row>
    <row r="29" spans="2:6" ht="19.95" customHeight="1" x14ac:dyDescent="0.3">
      <c r="B29" s="44" t="s">
        <v>232</v>
      </c>
      <c r="C29" s="49">
        <v>6.0000000000000001E-3</v>
      </c>
      <c r="D29" s="15" t="s">
        <v>233</v>
      </c>
    </row>
    <row r="30" spans="2:6" ht="19.95" customHeight="1" x14ac:dyDescent="0.3">
      <c r="B30" s="44" t="s">
        <v>234</v>
      </c>
      <c r="C30" s="49">
        <v>2.8000000000000001E-2</v>
      </c>
      <c r="D30" s="15" t="s">
        <v>235</v>
      </c>
    </row>
    <row r="31" spans="2:6" ht="19.95" customHeight="1" x14ac:dyDescent="0.3">
      <c r="B31" s="44" t="s">
        <v>236</v>
      </c>
      <c r="C31" s="49">
        <v>0.01</v>
      </c>
      <c r="D31" s="15" t="s">
        <v>237</v>
      </c>
    </row>
    <row r="32" spans="2:6" ht="19.95" customHeight="1" x14ac:dyDescent="0.3">
      <c r="B32" s="44" t="s">
        <v>238</v>
      </c>
      <c r="C32" s="49">
        <v>3.0000000000000001E-3</v>
      </c>
      <c r="D32" s="15" t="s">
        <v>239</v>
      </c>
    </row>
    <row r="33" spans="2:6" ht="19.95" customHeight="1" x14ac:dyDescent="0.3">
      <c r="B33" s="44" t="s">
        <v>240</v>
      </c>
      <c r="C33" s="49">
        <v>0.02</v>
      </c>
      <c r="D33" s="15" t="s">
        <v>241</v>
      </c>
    </row>
    <row r="34" spans="2:6" ht="19.95" customHeight="1" x14ac:dyDescent="0.3">
      <c r="B34" s="44" t="s">
        <v>242</v>
      </c>
      <c r="C34" s="34">
        <v>0</v>
      </c>
      <c r="D34" s="15" t="s">
        <v>243</v>
      </c>
    </row>
    <row r="35" spans="2:6" ht="19.95" customHeight="1" x14ac:dyDescent="0.3">
      <c r="B35" s="16" t="s">
        <v>244</v>
      </c>
      <c r="C35" s="50">
        <f>C25*C26*52</f>
        <v>21840</v>
      </c>
    </row>
    <row r="36" spans="2:6" ht="19.95" customHeight="1" x14ac:dyDescent="0.3">
      <c r="B36" s="16" t="s">
        <v>245</v>
      </c>
      <c r="C36" s="50">
        <f>C35*C28+MIN(C35,7000)*(C29+C30+C31)+MIN(C35,9000)*C32+C35*C33+C34</f>
        <v>2442.56</v>
      </c>
    </row>
    <row r="37" spans="2:6" ht="19.95" customHeight="1" x14ac:dyDescent="0.3">
      <c r="B37" s="16" t="s">
        <v>246</v>
      </c>
      <c r="C37" s="51">
        <f>C35+C36</f>
        <v>24282.560000000001</v>
      </c>
    </row>
    <row r="38" spans="2:6" ht="19.95" customHeight="1" x14ac:dyDescent="0.3">
      <c r="B38" s="16" t="s">
        <v>247</v>
      </c>
      <c r="C38" s="52">
        <f>IF(C35=0,0,C37/C35)</f>
        <v>1.1118388278388278</v>
      </c>
    </row>
    <row r="39" spans="2:6" ht="19.95" customHeight="1" x14ac:dyDescent="0.3">
      <c r="B39" s="16" t="s">
        <v>248</v>
      </c>
      <c r="C39" s="51">
        <f>C37/12*C27</f>
        <v>0</v>
      </c>
    </row>
    <row r="40" spans="2:6" ht="19.95" customHeight="1" x14ac:dyDescent="0.3"/>
    <row r="41" spans="2:6" ht="19.95" customHeight="1" x14ac:dyDescent="0.3">
      <c r="B41" s="132" t="s">
        <v>249</v>
      </c>
      <c r="C41" s="121"/>
      <c r="D41" s="121"/>
      <c r="E41" s="121"/>
      <c r="F41" s="121"/>
    </row>
    <row r="42" spans="2:6" ht="19.95" customHeight="1" x14ac:dyDescent="0.3">
      <c r="B42" s="44" t="s">
        <v>250</v>
      </c>
      <c r="C42" s="36"/>
      <c r="D42" s="15" t="s">
        <v>251</v>
      </c>
    </row>
    <row r="43" spans="2:6" ht="19.95" customHeight="1" x14ac:dyDescent="0.3">
      <c r="B43" s="44" t="s">
        <v>252</v>
      </c>
      <c r="C43" s="53">
        <v>0.33860000000000001</v>
      </c>
      <c r="D43" s="15" t="s">
        <v>253</v>
      </c>
    </row>
    <row r="44" spans="2:6" ht="19.95" customHeight="1" x14ac:dyDescent="0.3">
      <c r="B44" s="16" t="s">
        <v>254</v>
      </c>
      <c r="C44" s="51">
        <f>C42*C43</f>
        <v>0</v>
      </c>
    </row>
    <row r="45" spans="2:6" ht="19.95" customHeight="1" x14ac:dyDescent="0.3"/>
    <row r="46" spans="2:6" ht="19.95" customHeight="1" x14ac:dyDescent="0.3">
      <c r="B46" s="102" t="s">
        <v>255</v>
      </c>
      <c r="C46" s="103"/>
      <c r="D46" s="103"/>
      <c r="E46" s="103"/>
      <c r="F46" s="103"/>
    </row>
    <row r="47" spans="2:6" ht="19.95" customHeight="1" x14ac:dyDescent="0.3">
      <c r="B47" s="44" t="s">
        <v>256</v>
      </c>
      <c r="C47" s="30"/>
      <c r="D47" s="18" t="str">
        <f>IF(Tipo="OSFL","Si eres OSFL, salta a la sección E.","Ej.: bolsa de café de 12 oz")</f>
        <v>Ej.: bolsa de café de 12 oz</v>
      </c>
    </row>
    <row r="48" spans="2:6" ht="19.95" customHeight="1" x14ac:dyDescent="0.3">
      <c r="B48" s="44" t="s">
        <v>257</v>
      </c>
      <c r="C48" s="48"/>
      <c r="D48" s="15" t="s">
        <v>258</v>
      </c>
    </row>
    <row r="49" spans="2:6" ht="19.95" customHeight="1" x14ac:dyDescent="0.3">
      <c r="B49" s="44" t="s">
        <v>259</v>
      </c>
      <c r="C49" s="48"/>
    </row>
    <row r="50" spans="2:6" ht="19.95" customHeight="1" x14ac:dyDescent="0.3">
      <c r="B50" s="16" t="s">
        <v>260</v>
      </c>
      <c r="C50" s="54">
        <f>C48-C49</f>
        <v>0</v>
      </c>
      <c r="D50" s="15" t="s">
        <v>261</v>
      </c>
    </row>
    <row r="51" spans="2:6" ht="19.95" customHeight="1" x14ac:dyDescent="0.3">
      <c r="B51" s="16" t="s">
        <v>262</v>
      </c>
      <c r="C51" s="55">
        <f>IF(C48=0,0,C50/C48)</f>
        <v>0</v>
      </c>
    </row>
    <row r="52" spans="2:6" ht="19.95" customHeight="1" x14ac:dyDescent="0.3">
      <c r="B52" s="27" t="s">
        <v>263</v>
      </c>
      <c r="C52" s="56">
        <f>IF(C50&lt;=0,0,ROUNDUP(C22/C50,0))</f>
        <v>0</v>
      </c>
      <c r="D52" s="15" t="s">
        <v>264</v>
      </c>
    </row>
    <row r="53" spans="2:6" ht="19.95" customHeight="1" x14ac:dyDescent="0.3">
      <c r="B53" s="16" t="s">
        <v>265</v>
      </c>
      <c r="C53" s="50">
        <f>C52*C48</f>
        <v>0</v>
      </c>
    </row>
    <row r="54" spans="2:6" ht="19.95" customHeight="1" x14ac:dyDescent="0.3">
      <c r="B54" s="44" t="s">
        <v>266</v>
      </c>
      <c r="C54" s="35">
        <v>22</v>
      </c>
    </row>
    <row r="55" spans="2:6" ht="19.95" customHeight="1" x14ac:dyDescent="0.3">
      <c r="B55" s="16" t="s">
        <v>267</v>
      </c>
      <c r="C55" s="56">
        <f>IF(C54=0,0,ROUNDUP(C52/C54,0))</f>
        <v>0</v>
      </c>
    </row>
    <row r="56" spans="2:6" ht="19.95" customHeight="1" x14ac:dyDescent="0.3">
      <c r="B56" s="44" t="s">
        <v>268</v>
      </c>
      <c r="C56" s="36"/>
    </row>
    <row r="57" spans="2:6" ht="19.95" customHeight="1" x14ac:dyDescent="0.3">
      <c r="B57" s="16" t="s">
        <v>269</v>
      </c>
      <c r="C57" s="57">
        <f>C56*C50-C22</f>
        <v>0</v>
      </c>
    </row>
    <row r="58" spans="2:6" ht="19.95" customHeight="1" x14ac:dyDescent="0.3">
      <c r="B58" s="16" t="s">
        <v>270</v>
      </c>
      <c r="C58" s="58">
        <f>IF(C56=0,0,(C56-C52)/C56)</f>
        <v>0</v>
      </c>
    </row>
    <row r="59" spans="2:6" ht="19.95" customHeight="1" x14ac:dyDescent="0.3"/>
    <row r="60" spans="2:6" ht="19.95" customHeight="1" x14ac:dyDescent="0.3">
      <c r="B60" s="126" t="s">
        <v>271</v>
      </c>
      <c r="C60" s="111"/>
      <c r="D60" s="111"/>
      <c r="E60" s="111"/>
      <c r="F60" s="111"/>
    </row>
    <row r="61" spans="2:6" ht="19.95" customHeight="1" x14ac:dyDescent="0.3">
      <c r="B61" s="44" t="s">
        <v>272</v>
      </c>
      <c r="C61" s="30"/>
      <c r="D61" s="18" t="str">
        <f>IF(Tipo="OSFL","Ej.: almuerzo entregado","Si eres PyME, puedes saltar esta sección.")</f>
        <v>Si eres PyME, puedes saltar esta sección.</v>
      </c>
    </row>
    <row r="62" spans="2:6" ht="19.95" customHeight="1" x14ac:dyDescent="0.3">
      <c r="B62" s="44" t="s">
        <v>273</v>
      </c>
      <c r="C62" s="48"/>
    </row>
    <row r="63" spans="2:6" ht="19.95" customHeight="1" x14ac:dyDescent="0.3">
      <c r="B63" s="44" t="s">
        <v>274</v>
      </c>
      <c r="C63" s="36"/>
    </row>
    <row r="64" spans="2:6" ht="19.95" customHeight="1" x14ac:dyDescent="0.3">
      <c r="B64" s="16" t="s">
        <v>275</v>
      </c>
      <c r="C64" s="50">
        <f>C22+C62*C63</f>
        <v>0</v>
      </c>
    </row>
    <row r="65" spans="2:6" ht="19.95" customHeight="1" x14ac:dyDescent="0.3">
      <c r="B65" s="59" t="s">
        <v>276</v>
      </c>
      <c r="C65" s="60">
        <f>IF(C63=0,0,C64/C63)</f>
        <v>0</v>
      </c>
      <c r="D65" s="15" t="s">
        <v>277</v>
      </c>
    </row>
    <row r="66" spans="2:6" ht="19.95" customHeight="1" x14ac:dyDescent="0.3">
      <c r="B66" s="44" t="s">
        <v>278</v>
      </c>
      <c r="C66" s="34"/>
    </row>
    <row r="67" spans="2:6" ht="19.95" customHeight="1" x14ac:dyDescent="0.3">
      <c r="B67" s="16" t="s">
        <v>279</v>
      </c>
      <c r="C67" s="51">
        <f>MAX(0,C64-C66)</f>
        <v>0</v>
      </c>
    </row>
    <row r="68" spans="2:6" ht="19.95" customHeight="1" x14ac:dyDescent="0.3">
      <c r="B68" s="59" t="s">
        <v>280</v>
      </c>
    </row>
    <row r="69" spans="2:6" ht="19.95" customHeight="1" x14ac:dyDescent="0.3">
      <c r="B69" s="61">
        <v>25</v>
      </c>
      <c r="C69" s="62">
        <f>IF(C65=0,0,ROUNDDOWN(B69/C65,0))</f>
        <v>0</v>
      </c>
      <c r="D69" s="128" t="str">
        <f>IF(C65=0,"",TEXT(C69,"#,##0")&amp;" "&amp;IF(C61="","unidades",C61&amp;"(s)"))</f>
        <v/>
      </c>
      <c r="E69" s="91"/>
    </row>
    <row r="70" spans="2:6" ht="19.95" customHeight="1" x14ac:dyDescent="0.3">
      <c r="B70" s="61">
        <v>50</v>
      </c>
      <c r="C70" s="62">
        <f>IF(C65=0,0,ROUNDDOWN(B70/C65,0))</f>
        <v>0</v>
      </c>
      <c r="D70" s="128" t="str">
        <f>IF(C65=0,"",TEXT(C70,"#,##0")&amp;" "&amp;IF(C61="","unidades",C61&amp;"(s)"))</f>
        <v/>
      </c>
      <c r="E70" s="91"/>
    </row>
    <row r="71" spans="2:6" ht="19.95" customHeight="1" x14ac:dyDescent="0.3">
      <c r="B71" s="61">
        <v>100</v>
      </c>
      <c r="C71" s="62">
        <f>IF(C65=0,0,ROUNDDOWN(B71/C65,0))</f>
        <v>0</v>
      </c>
      <c r="D71" s="128" t="str">
        <f>IF(C65=0,"",TEXT(C71,"#,##0")&amp;" "&amp;IF(C61="","unidades",C61&amp;"(s)"))</f>
        <v/>
      </c>
      <c r="E71" s="91"/>
    </row>
    <row r="72" spans="2:6" ht="19.95" customHeight="1" x14ac:dyDescent="0.3">
      <c r="B72" s="61">
        <v>250</v>
      </c>
      <c r="C72" s="62">
        <f>IF(C65=0,0,ROUNDDOWN(B72/C65,0))</f>
        <v>0</v>
      </c>
      <c r="D72" s="128" t="str">
        <f>IF(C65=0,"",TEXT(C72,"#,##0")&amp;" "&amp;IF(C61="","unidades",C61&amp;"(s)"))</f>
        <v/>
      </c>
      <c r="E72" s="91"/>
    </row>
    <row r="73" spans="2:6" ht="19.95" customHeight="1" x14ac:dyDescent="0.3">
      <c r="B73" s="61">
        <v>500</v>
      </c>
      <c r="C73" s="62">
        <f>IF(C65=0,0,ROUNDDOWN(B73/C65,0))</f>
        <v>0</v>
      </c>
      <c r="D73" s="128" t="str">
        <f>IF(C65=0,"",TEXT(C73,"#,##0")&amp;" "&amp;IF(C61="","unidades",C61&amp;"(s)"))</f>
        <v/>
      </c>
      <c r="E73" s="91"/>
    </row>
    <row r="74" spans="2:6" ht="19.95" customHeight="1" x14ac:dyDescent="0.3">
      <c r="B74" s="107" t="s">
        <v>281</v>
      </c>
      <c r="C74" s="91"/>
      <c r="D74" s="91"/>
      <c r="E74" s="91"/>
    </row>
    <row r="75" spans="2:6" ht="19.95" customHeight="1" x14ac:dyDescent="0.3"/>
    <row r="76" spans="2:6" ht="19.95" customHeight="1" x14ac:dyDescent="0.3">
      <c r="B76" s="106" t="s">
        <v>282</v>
      </c>
      <c r="C76" s="97"/>
      <c r="D76" s="97"/>
      <c r="E76" s="97"/>
      <c r="F76" s="97"/>
    </row>
    <row r="77" spans="2:6" ht="19.95" customHeight="1" x14ac:dyDescent="0.3">
      <c r="B77" s="28"/>
      <c r="C77" s="29" t="s">
        <v>283</v>
      </c>
      <c r="D77" s="29" t="s">
        <v>284</v>
      </c>
      <c r="E77" s="29" t="s">
        <v>285</v>
      </c>
    </row>
    <row r="78" spans="2:6" ht="19.95" customHeight="1" x14ac:dyDescent="0.3">
      <c r="B78" s="44" t="s">
        <v>286</v>
      </c>
      <c r="C78" s="63">
        <v>0.8</v>
      </c>
      <c r="D78" s="63">
        <v>1</v>
      </c>
      <c r="E78" s="63">
        <v>1.2</v>
      </c>
    </row>
    <row r="79" spans="2:6" ht="19.95" customHeight="1" x14ac:dyDescent="0.3">
      <c r="B79" s="44" t="s">
        <v>287</v>
      </c>
      <c r="C79" s="62">
        <f>IF(Tipo="OSFL",C63,C56)*C78</f>
        <v>0</v>
      </c>
      <c r="D79" s="62">
        <f>IF(Tipo="OSFL",C63,C56)*D78</f>
        <v>0</v>
      </c>
      <c r="E79" s="62">
        <f>IF(Tipo="OSFL",C63,C56)*E78</f>
        <v>0</v>
      </c>
    </row>
    <row r="80" spans="2:6" ht="19.95" customHeight="1" x14ac:dyDescent="0.3">
      <c r="B80" s="44" t="s">
        <v>288</v>
      </c>
      <c r="C80" s="50">
        <f>IF(Tipo="OSFL",C66*C78,C79*C48)</f>
        <v>0</v>
      </c>
      <c r="D80" s="50">
        <f>IF(Tipo="OSFL",C66*D78,D79*C48)</f>
        <v>0</v>
      </c>
      <c r="E80" s="50">
        <f>IF(Tipo="OSFL",C66*E78,E79*C48)</f>
        <v>0</v>
      </c>
    </row>
    <row r="81" spans="2:5" ht="19.95" customHeight="1" x14ac:dyDescent="0.3">
      <c r="B81" s="44" t="s">
        <v>289</v>
      </c>
      <c r="C81" s="50">
        <f>C79*IF(Tipo="OSFL",C62,C49)</f>
        <v>0</v>
      </c>
      <c r="D81" s="50">
        <f>D79*IF(Tipo="OSFL",C62,C49)</f>
        <v>0</v>
      </c>
      <c r="E81" s="50">
        <f>E79*IF(Tipo="OSFL",C62,C49)</f>
        <v>0</v>
      </c>
    </row>
    <row r="82" spans="2:5" ht="19.95" customHeight="1" x14ac:dyDescent="0.3">
      <c r="B82" s="44" t="s">
        <v>290</v>
      </c>
      <c r="C82" s="50">
        <f>C22</f>
        <v>0</v>
      </c>
      <c r="D82" s="50">
        <f>C22</f>
        <v>0</v>
      </c>
      <c r="E82" s="50">
        <f>C22</f>
        <v>0</v>
      </c>
    </row>
    <row r="83" spans="2:5" ht="19.95" customHeight="1" x14ac:dyDescent="0.3">
      <c r="B83" s="31" t="s">
        <v>291</v>
      </c>
      <c r="C83" s="57">
        <f>C80-C81-C82</f>
        <v>0</v>
      </c>
      <c r="D83" s="57">
        <f>D80-D81-D82</f>
        <v>0</v>
      </c>
      <c r="E83" s="57">
        <f>E80-E81-E82</f>
        <v>0</v>
      </c>
    </row>
    <row r="84" spans="2:5" ht="19.95" customHeight="1" x14ac:dyDescent="0.3">
      <c r="B84" s="107" t="s">
        <v>292</v>
      </c>
      <c r="C84" s="91"/>
      <c r="D84" s="91"/>
      <c r="E84" s="91"/>
    </row>
  </sheetData>
  <sheetProtection sheet="1" formatCells="0" formatColumns="0" formatRows="0"/>
  <mergeCells count="17">
    <mergeCell ref="B84:E84"/>
    <mergeCell ref="D73:E73"/>
    <mergeCell ref="B74:E74"/>
    <mergeCell ref="B3:F3"/>
    <mergeCell ref="B60:F60"/>
    <mergeCell ref="B76:F76"/>
    <mergeCell ref="B46:F46"/>
    <mergeCell ref="D70:E70"/>
    <mergeCell ref="D71:E71"/>
    <mergeCell ref="C5:F5"/>
    <mergeCell ref="B41:F41"/>
    <mergeCell ref="D69:E69"/>
    <mergeCell ref="B7:F7"/>
    <mergeCell ref="B24:F24"/>
    <mergeCell ref="B2:F2"/>
    <mergeCell ref="D72:E72"/>
    <mergeCell ref="D8:D12"/>
  </mergeCells>
  <pageMargins left="0.4" right="0.4" top="0.5" bottom="0.5" header="0.5" footer="0.5"/>
  <pageSetup fitToHeight="0" orientation="portrait"/>
  <headerFooter>
    <oddFooter>&amp;C&amp;8 Mi Plan de Negocio Preliminar · Asesores Financieros Comunitarios, Inc. · Página &amp;P de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37B34A"/>
    <pageSetUpPr fitToPage="1"/>
  </sheetPr>
  <dimension ref="B1:O32"/>
  <sheetViews>
    <sheetView showGridLines="0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2" customWidth="1"/>
    <col min="2" max="2" width="38" customWidth="1"/>
    <col min="3" max="14" width="11" customWidth="1"/>
    <col min="15" max="15" width="13" customWidth="1"/>
  </cols>
  <sheetData>
    <row r="1" spans="2:15" ht="7.95" customHeight="1" x14ac:dyDescent="0.3"/>
    <row r="2" spans="2:15" ht="30" customHeight="1" x14ac:dyDescent="0.3">
      <c r="B2" s="101" t="s">
        <v>293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</row>
    <row r="3" spans="2:15" ht="22.05" customHeight="1" x14ac:dyDescent="0.3">
      <c r="B3" s="104" t="s">
        <v>294</v>
      </c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</row>
    <row r="5" spans="2:15" ht="52.8" x14ac:dyDescent="0.3">
      <c r="B5" s="16" t="s">
        <v>295</v>
      </c>
      <c r="C5" s="135">
        <v>46327</v>
      </c>
      <c r="D5" s="136"/>
      <c r="F5" s="16" t="s">
        <v>296</v>
      </c>
      <c r="H5" s="137"/>
      <c r="I5" s="136"/>
      <c r="K5" s="16" t="s">
        <v>297</v>
      </c>
      <c r="N5" s="35">
        <v>3</v>
      </c>
    </row>
    <row r="7" spans="2:15" ht="26.4" x14ac:dyDescent="0.3">
      <c r="B7" s="28" t="s">
        <v>298</v>
      </c>
      <c r="C7" s="64">
        <f>EDATE($C$5,0)</f>
        <v>46327</v>
      </c>
      <c r="D7" s="64">
        <f>EDATE($C$5,1)</f>
        <v>46357</v>
      </c>
      <c r="E7" s="64">
        <f>EDATE($C$5,2)</f>
        <v>46388</v>
      </c>
      <c r="F7" s="64">
        <f>EDATE($C$5,3)</f>
        <v>46419</v>
      </c>
      <c r="G7" s="64">
        <f>EDATE($C$5,4)</f>
        <v>46447</v>
      </c>
      <c r="H7" s="64">
        <f>EDATE($C$5,5)</f>
        <v>46478</v>
      </c>
      <c r="I7" s="64">
        <f>EDATE($C$5,6)</f>
        <v>46508</v>
      </c>
      <c r="J7" s="64">
        <f>EDATE($C$5,7)</f>
        <v>46539</v>
      </c>
      <c r="K7" s="64">
        <f>EDATE($C$5,8)</f>
        <v>46569</v>
      </c>
      <c r="L7" s="64">
        <f>EDATE($C$5,9)</f>
        <v>46600</v>
      </c>
      <c r="M7" s="64">
        <f>EDATE($C$5,10)</f>
        <v>46631</v>
      </c>
      <c r="N7" s="64">
        <f>EDATE($C$5,11)</f>
        <v>46661</v>
      </c>
      <c r="O7" s="29" t="s">
        <v>299</v>
      </c>
    </row>
    <row r="8" spans="2:15" ht="19.95" customHeight="1" x14ac:dyDescent="0.3">
      <c r="B8" s="126" t="s">
        <v>300</v>
      </c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</row>
    <row r="9" spans="2:15" x14ac:dyDescent="0.3">
      <c r="B9" s="44" t="s">
        <v>301</v>
      </c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6">
        <f t="shared" ref="O9:O14" si="0">SUM(C9:N9)</f>
        <v>0</v>
      </c>
    </row>
    <row r="10" spans="2:15" x14ac:dyDescent="0.3">
      <c r="B10" s="44" t="s">
        <v>302</v>
      </c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6">
        <f t="shared" si="0"/>
        <v>0</v>
      </c>
    </row>
    <row r="11" spans="2:15" x14ac:dyDescent="0.3">
      <c r="B11" s="44" t="s">
        <v>303</v>
      </c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6">
        <f t="shared" si="0"/>
        <v>0</v>
      </c>
    </row>
    <row r="12" spans="2:15" x14ac:dyDescent="0.3">
      <c r="B12" s="44" t="s">
        <v>304</v>
      </c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6">
        <f t="shared" si="0"/>
        <v>0</v>
      </c>
    </row>
    <row r="13" spans="2:15" x14ac:dyDescent="0.3">
      <c r="B13" s="44" t="s">
        <v>305</v>
      </c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6">
        <f t="shared" si="0"/>
        <v>0</v>
      </c>
    </row>
    <row r="14" spans="2:15" x14ac:dyDescent="0.3">
      <c r="B14" s="44" t="s">
        <v>306</v>
      </c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6">
        <f t="shared" si="0"/>
        <v>0</v>
      </c>
    </row>
    <row r="15" spans="2:15" x14ac:dyDescent="0.3">
      <c r="B15" s="59" t="s">
        <v>307</v>
      </c>
      <c r="C15" s="47">
        <f t="shared" ref="C15:O15" si="1">SUM(C9:C14)</f>
        <v>0</v>
      </c>
      <c r="D15" s="47">
        <f t="shared" si="1"/>
        <v>0</v>
      </c>
      <c r="E15" s="47">
        <f t="shared" si="1"/>
        <v>0</v>
      </c>
      <c r="F15" s="47">
        <f t="shared" si="1"/>
        <v>0</v>
      </c>
      <c r="G15" s="47">
        <f t="shared" si="1"/>
        <v>0</v>
      </c>
      <c r="H15" s="47">
        <f t="shared" si="1"/>
        <v>0</v>
      </c>
      <c r="I15" s="47">
        <f t="shared" si="1"/>
        <v>0</v>
      </c>
      <c r="J15" s="47">
        <f t="shared" si="1"/>
        <v>0</v>
      </c>
      <c r="K15" s="47">
        <f t="shared" si="1"/>
        <v>0</v>
      </c>
      <c r="L15" s="47">
        <f t="shared" si="1"/>
        <v>0</v>
      </c>
      <c r="M15" s="47">
        <f t="shared" si="1"/>
        <v>0</v>
      </c>
      <c r="N15" s="47">
        <f t="shared" si="1"/>
        <v>0</v>
      </c>
      <c r="O15" s="47">
        <f t="shared" si="1"/>
        <v>0</v>
      </c>
    </row>
    <row r="16" spans="2:15" ht="19.95" customHeight="1" x14ac:dyDescent="0.3">
      <c r="B16" s="102" t="s">
        <v>308</v>
      </c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</row>
    <row r="17" spans="2:15" x14ac:dyDescent="0.3">
      <c r="B17" s="44" t="s">
        <v>309</v>
      </c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6">
        <f t="shared" ref="O17:O24" si="2">SUM(C17:N17)</f>
        <v>0</v>
      </c>
    </row>
    <row r="18" spans="2:15" x14ac:dyDescent="0.3">
      <c r="B18" s="44" t="s">
        <v>310</v>
      </c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6">
        <f t="shared" si="2"/>
        <v>0</v>
      </c>
    </row>
    <row r="19" spans="2:15" x14ac:dyDescent="0.3">
      <c r="B19" s="44" t="s">
        <v>311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6">
        <f t="shared" si="2"/>
        <v>0</v>
      </c>
    </row>
    <row r="20" spans="2:15" x14ac:dyDescent="0.3">
      <c r="B20" s="44" t="s">
        <v>312</v>
      </c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6">
        <f t="shared" si="2"/>
        <v>0</v>
      </c>
    </row>
    <row r="21" spans="2:15" x14ac:dyDescent="0.3">
      <c r="B21" s="44" t="s">
        <v>313</v>
      </c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6">
        <f t="shared" si="2"/>
        <v>0</v>
      </c>
    </row>
    <row r="22" spans="2:15" x14ac:dyDescent="0.3">
      <c r="B22" s="44" t="s">
        <v>314</v>
      </c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6">
        <f t="shared" si="2"/>
        <v>0</v>
      </c>
    </row>
    <row r="23" spans="2:15" ht="26.4" x14ac:dyDescent="0.3">
      <c r="B23" s="44" t="s">
        <v>315</v>
      </c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6">
        <f t="shared" si="2"/>
        <v>0</v>
      </c>
    </row>
    <row r="24" spans="2:15" x14ac:dyDescent="0.3">
      <c r="B24" s="44" t="s">
        <v>316</v>
      </c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6">
        <f t="shared" si="2"/>
        <v>0</v>
      </c>
    </row>
    <row r="25" spans="2:15" x14ac:dyDescent="0.3">
      <c r="B25" s="27" t="s">
        <v>317</v>
      </c>
      <c r="C25" s="47">
        <f t="shared" ref="C25:O25" si="3">SUM(C17:C24)</f>
        <v>0</v>
      </c>
      <c r="D25" s="47">
        <f t="shared" si="3"/>
        <v>0</v>
      </c>
      <c r="E25" s="47">
        <f t="shared" si="3"/>
        <v>0</v>
      </c>
      <c r="F25" s="47">
        <f t="shared" si="3"/>
        <v>0</v>
      </c>
      <c r="G25" s="47">
        <f t="shared" si="3"/>
        <v>0</v>
      </c>
      <c r="H25" s="47">
        <f t="shared" si="3"/>
        <v>0</v>
      </c>
      <c r="I25" s="47">
        <f t="shared" si="3"/>
        <v>0</v>
      </c>
      <c r="J25" s="47">
        <f t="shared" si="3"/>
        <v>0</v>
      </c>
      <c r="K25" s="47">
        <f t="shared" si="3"/>
        <v>0</v>
      </c>
      <c r="L25" s="47">
        <f t="shared" si="3"/>
        <v>0</v>
      </c>
      <c r="M25" s="47">
        <f t="shared" si="3"/>
        <v>0</v>
      </c>
      <c r="N25" s="47">
        <f t="shared" si="3"/>
        <v>0</v>
      </c>
      <c r="O25" s="47">
        <f t="shared" si="3"/>
        <v>0</v>
      </c>
    </row>
    <row r="27" spans="2:15" x14ac:dyDescent="0.3">
      <c r="B27" s="16" t="s">
        <v>318</v>
      </c>
      <c r="C27" s="57">
        <f t="shared" ref="C27:O27" si="4">C15-C25</f>
        <v>0</v>
      </c>
      <c r="D27" s="57">
        <f t="shared" si="4"/>
        <v>0</v>
      </c>
      <c r="E27" s="57">
        <f t="shared" si="4"/>
        <v>0</v>
      </c>
      <c r="F27" s="57">
        <f t="shared" si="4"/>
        <v>0</v>
      </c>
      <c r="G27" s="57">
        <f t="shared" si="4"/>
        <v>0</v>
      </c>
      <c r="H27" s="57">
        <f t="shared" si="4"/>
        <v>0</v>
      </c>
      <c r="I27" s="57">
        <f t="shared" si="4"/>
        <v>0</v>
      </c>
      <c r="J27" s="57">
        <f t="shared" si="4"/>
        <v>0</v>
      </c>
      <c r="K27" s="57">
        <f t="shared" si="4"/>
        <v>0</v>
      </c>
      <c r="L27" s="57">
        <f t="shared" si="4"/>
        <v>0</v>
      </c>
      <c r="M27" s="57">
        <f t="shared" si="4"/>
        <v>0</v>
      </c>
      <c r="N27" s="57">
        <f t="shared" si="4"/>
        <v>0</v>
      </c>
      <c r="O27" s="57">
        <f t="shared" si="4"/>
        <v>0</v>
      </c>
    </row>
    <row r="28" spans="2:15" x14ac:dyDescent="0.3">
      <c r="B28" s="31" t="s">
        <v>319</v>
      </c>
      <c r="C28" s="57">
        <f>$H$5+C27</f>
        <v>0</v>
      </c>
      <c r="D28" s="57">
        <f t="shared" ref="D28:N28" si="5">C28+D27</f>
        <v>0</v>
      </c>
      <c r="E28" s="57">
        <f t="shared" si="5"/>
        <v>0</v>
      </c>
      <c r="F28" s="57">
        <f t="shared" si="5"/>
        <v>0</v>
      </c>
      <c r="G28" s="57">
        <f t="shared" si="5"/>
        <v>0</v>
      </c>
      <c r="H28" s="57">
        <f t="shared" si="5"/>
        <v>0</v>
      </c>
      <c r="I28" s="57">
        <f t="shared" si="5"/>
        <v>0</v>
      </c>
      <c r="J28" s="57">
        <f t="shared" si="5"/>
        <v>0</v>
      </c>
      <c r="K28" s="57">
        <f t="shared" si="5"/>
        <v>0</v>
      </c>
      <c r="L28" s="57">
        <f t="shared" si="5"/>
        <v>0</v>
      </c>
      <c r="M28" s="57">
        <f t="shared" si="5"/>
        <v>0</v>
      </c>
      <c r="N28" s="57">
        <f t="shared" si="5"/>
        <v>0</v>
      </c>
    </row>
    <row r="29" spans="2:15" x14ac:dyDescent="0.3">
      <c r="B29" s="44" t="s">
        <v>320</v>
      </c>
      <c r="C29" s="32" t="str">
        <f t="shared" ref="C29:N29" si="6">IF(AND(C15=0,C25=0),"",IF(C28&lt;0,"FALTA",IF(C28&lt;$O$30,"Bajo","OK")))</f>
        <v/>
      </c>
      <c r="D29" s="32" t="str">
        <f t="shared" si="6"/>
        <v/>
      </c>
      <c r="E29" s="32" t="str">
        <f t="shared" si="6"/>
        <v/>
      </c>
      <c r="F29" s="32" t="str">
        <f t="shared" si="6"/>
        <v/>
      </c>
      <c r="G29" s="32" t="str">
        <f t="shared" si="6"/>
        <v/>
      </c>
      <c r="H29" s="32" t="str">
        <f t="shared" si="6"/>
        <v/>
      </c>
      <c r="I29" s="32" t="str">
        <f t="shared" si="6"/>
        <v/>
      </c>
      <c r="J29" s="32" t="str">
        <f t="shared" si="6"/>
        <v/>
      </c>
      <c r="K29" s="32" t="str">
        <f t="shared" si="6"/>
        <v/>
      </c>
      <c r="L29" s="32" t="str">
        <f t="shared" si="6"/>
        <v/>
      </c>
      <c r="M29" s="32" t="str">
        <f t="shared" si="6"/>
        <v/>
      </c>
      <c r="N29" s="32" t="str">
        <f t="shared" si="6"/>
        <v/>
      </c>
    </row>
    <row r="30" spans="2:15" x14ac:dyDescent="0.3">
      <c r="B30" s="44" t="s">
        <v>321</v>
      </c>
      <c r="C30" s="94" t="s">
        <v>322</v>
      </c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51">
        <f>$N$5*IF(COUNTIF(C25:N25,"&gt;0")=0,0,SUMIF(C25:N25,"&gt;0")/COUNTIF(C25:N25,"&gt;0"))</f>
        <v>0</v>
      </c>
    </row>
    <row r="32" spans="2:15" ht="39.6" x14ac:dyDescent="0.3">
      <c r="B32" s="16" t="s">
        <v>323</v>
      </c>
      <c r="C32" s="134">
        <f>IF(COUNT(C9:N14)+COUNT(C17:N24)=0,0,MIN(C28:N28))</f>
        <v>0</v>
      </c>
      <c r="D32" s="131"/>
      <c r="F32" s="16" t="s">
        <v>324</v>
      </c>
      <c r="I32" s="133" t="str">
        <f>IF(COUNT(C9:N14)+COUNT(C17:N24)=0,"—",CHOOSE(MONTH(INDEX(C7:N7,MATCH(MIN(C28:N28),C28:N28,0))),"enero","febrero","marzo","abril","mayo","junio","julio","agosto","septiembre","octubre","noviembre","diciembre")&amp;" "&amp;YEAR(INDEX(C7:N7,MATCH(MIN(C28:N28),C28:N28,0))))</f>
        <v>—</v>
      </c>
      <c r="J32" s="130"/>
      <c r="K32" s="131"/>
    </row>
  </sheetData>
  <sheetProtection sheet="1" formatCells="0" formatColumns="0" formatRows="0"/>
  <mergeCells count="9">
    <mergeCell ref="B8:O8"/>
    <mergeCell ref="I32:K32"/>
    <mergeCell ref="C32:D32"/>
    <mergeCell ref="B2:O2"/>
    <mergeCell ref="C5:D5"/>
    <mergeCell ref="B16:O16"/>
    <mergeCell ref="B3:O3"/>
    <mergeCell ref="H5:I5"/>
    <mergeCell ref="C30:N30"/>
  </mergeCells>
  <conditionalFormatting sqref="C29:N29">
    <cfRule type="cellIs" dxfId="15" priority="1" operator="equal">
      <formula>"FALTA"</formula>
    </cfRule>
    <cfRule type="cellIs" dxfId="14" priority="2" operator="equal">
      <formula>"Bajo"</formula>
    </cfRule>
    <cfRule type="cellIs" dxfId="13" priority="3" operator="equal">
      <formula>"OK"</formula>
    </cfRule>
  </conditionalFormatting>
  <pageMargins left="0.4" right="0.4" top="0.5" bottom="0.5" header="0.5" footer="0.5"/>
  <pageSetup orientation="landscape"/>
  <headerFooter>
    <oddFooter>&amp;C&amp;8 Mi Plan de Negocio Preliminar · Asesores Financieros Comunitarios, Inc. · Página &amp;P de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37B34A"/>
    <pageSetUpPr fitToPage="1"/>
  </sheetPr>
  <dimension ref="B1:G17"/>
  <sheetViews>
    <sheetView showGridLines="0" workbookViewId="0"/>
  </sheetViews>
  <sheetFormatPr defaultRowHeight="14.4" x14ac:dyDescent="0.3"/>
  <cols>
    <col min="1" max="1" width="2" customWidth="1"/>
    <col min="2" max="2" width="34" customWidth="1"/>
    <col min="3" max="4" width="15" customWidth="1"/>
    <col min="5" max="5" width="18" customWidth="1"/>
    <col min="6" max="6" width="44" customWidth="1"/>
    <col min="7" max="7" width="4" customWidth="1"/>
  </cols>
  <sheetData>
    <row r="1" spans="2:7" ht="7.95" customHeight="1" x14ac:dyDescent="0.3"/>
    <row r="2" spans="2:7" ht="30" customHeight="1" x14ac:dyDescent="0.3">
      <c r="B2" s="101" t="s">
        <v>325</v>
      </c>
      <c r="C2" s="97"/>
      <c r="D2" s="97"/>
      <c r="E2" s="97"/>
      <c r="F2" s="97"/>
      <c r="G2" s="97"/>
    </row>
    <row r="3" spans="2:7" ht="22.05" customHeight="1" x14ac:dyDescent="0.3">
      <c r="B3" s="104" t="s">
        <v>326</v>
      </c>
      <c r="C3" s="105"/>
      <c r="D3" s="105"/>
      <c r="E3" s="105"/>
      <c r="F3" s="105"/>
      <c r="G3" s="105"/>
    </row>
    <row r="5" spans="2:7" ht="30" customHeight="1" x14ac:dyDescent="0.3">
      <c r="B5" s="138" t="s">
        <v>327</v>
      </c>
      <c r="C5" s="91"/>
      <c r="D5" s="91"/>
      <c r="E5" s="91"/>
      <c r="F5" s="91"/>
    </row>
    <row r="6" spans="2:7" x14ac:dyDescent="0.3">
      <c r="B6" s="91"/>
      <c r="C6" s="91"/>
      <c r="D6" s="91"/>
      <c r="E6" s="91"/>
      <c r="F6" s="91"/>
    </row>
    <row r="7" spans="2:7" ht="24" x14ac:dyDescent="0.3">
      <c r="B7" s="3" t="s">
        <v>328</v>
      </c>
      <c r="C7" s="3" t="s">
        <v>329</v>
      </c>
      <c r="D7" s="3" t="s">
        <v>330</v>
      </c>
      <c r="E7" s="3" t="s">
        <v>331</v>
      </c>
      <c r="F7" s="3" t="s">
        <v>332</v>
      </c>
    </row>
    <row r="8" spans="2:7" ht="30" customHeight="1" x14ac:dyDescent="0.3">
      <c r="B8" s="17"/>
      <c r="C8" s="35"/>
      <c r="D8" s="35"/>
      <c r="E8" s="67" t="str">
        <f t="shared" ref="E8:E15" si="0">IF(OR(C8="",D8=""),"",IF(AND(C8&gt;=3,D8&gt;=3),"Estrella · Crecer",IF(C8&gt;=3,"Corazón · Mantener",IF(D8&gt;=3,"Árbol de dinero · Cultivar","Señal de pare · Cerrar"))))</f>
        <v/>
      </c>
      <c r="F8" s="68" t="str">
        <f t="shared" ref="F8:F15" si="1">IF(E8="","",IF(LEFT(E8,8)="Estrella","Invertir y crecer: alto impacto que se sostiene.",IF(LEFT(E8,7)="Corazón","Mantener con control: buscar quién lo subsidie y bajar su costo.",IF(LEFT(E8,5)="Árbol","Cultivar: genera recursos para financiar la misión o lo estratégico.","Cerrar o transformar: libera recursos para lo que sí funciona."))))</f>
        <v/>
      </c>
    </row>
    <row r="9" spans="2:7" ht="30" customHeight="1" x14ac:dyDescent="0.3">
      <c r="B9" s="17"/>
      <c r="C9" s="35"/>
      <c r="D9" s="35"/>
      <c r="E9" s="67" t="str">
        <f t="shared" si="0"/>
        <v/>
      </c>
      <c r="F9" s="68" t="str">
        <f t="shared" si="1"/>
        <v/>
      </c>
    </row>
    <row r="10" spans="2:7" ht="30" customHeight="1" x14ac:dyDescent="0.3">
      <c r="B10" s="17"/>
      <c r="C10" s="35"/>
      <c r="D10" s="35"/>
      <c r="E10" s="67" t="str">
        <f t="shared" si="0"/>
        <v/>
      </c>
      <c r="F10" s="68" t="str">
        <f t="shared" si="1"/>
        <v/>
      </c>
    </row>
    <row r="11" spans="2:7" ht="30" customHeight="1" x14ac:dyDescent="0.3">
      <c r="B11" s="17"/>
      <c r="C11" s="35"/>
      <c r="D11" s="35"/>
      <c r="E11" s="67" t="str">
        <f t="shared" si="0"/>
        <v/>
      </c>
      <c r="F11" s="68" t="str">
        <f t="shared" si="1"/>
        <v/>
      </c>
    </row>
    <row r="12" spans="2:7" ht="30" customHeight="1" x14ac:dyDescent="0.3">
      <c r="B12" s="17"/>
      <c r="C12" s="35"/>
      <c r="D12" s="35"/>
      <c r="E12" s="67" t="str">
        <f t="shared" si="0"/>
        <v/>
      </c>
      <c r="F12" s="68" t="str">
        <f t="shared" si="1"/>
        <v/>
      </c>
    </row>
    <row r="13" spans="2:7" ht="30" customHeight="1" x14ac:dyDescent="0.3">
      <c r="B13" s="17"/>
      <c r="C13" s="35"/>
      <c r="D13" s="35"/>
      <c r="E13" s="67" t="str">
        <f t="shared" si="0"/>
        <v/>
      </c>
      <c r="F13" s="68" t="str">
        <f t="shared" si="1"/>
        <v/>
      </c>
    </row>
    <row r="14" spans="2:7" ht="30" customHeight="1" x14ac:dyDescent="0.3">
      <c r="B14" s="17"/>
      <c r="C14" s="35"/>
      <c r="D14" s="35"/>
      <c r="E14" s="67" t="str">
        <f t="shared" si="0"/>
        <v/>
      </c>
      <c r="F14" s="68" t="str">
        <f t="shared" si="1"/>
        <v/>
      </c>
    </row>
    <row r="15" spans="2:7" ht="30" customHeight="1" x14ac:dyDescent="0.3">
      <c r="B15" s="17"/>
      <c r="C15" s="35"/>
      <c r="D15" s="35"/>
      <c r="E15" s="67" t="str">
        <f t="shared" si="0"/>
        <v/>
      </c>
      <c r="F15" s="68" t="str">
        <f t="shared" si="1"/>
        <v/>
      </c>
    </row>
    <row r="17" spans="2:6" ht="30" customHeight="1" x14ac:dyDescent="0.3">
      <c r="B17" s="107" t="s">
        <v>333</v>
      </c>
      <c r="C17" s="91"/>
      <c r="D17" s="91"/>
      <c r="E17" s="91"/>
      <c r="F17" s="91"/>
    </row>
  </sheetData>
  <sheetProtection sheet="1" formatCells="0" formatColumns="0" formatRows="0"/>
  <mergeCells count="4">
    <mergeCell ref="B3:G3"/>
    <mergeCell ref="B2:G2"/>
    <mergeCell ref="B5:F6"/>
    <mergeCell ref="B17:F17"/>
  </mergeCells>
  <conditionalFormatting sqref="E8:E15">
    <cfRule type="cellIs" dxfId="12" priority="1" operator="equal">
      <formula>"Estrella · Crecer"</formula>
    </cfRule>
    <cfRule type="cellIs" dxfId="11" priority="2" operator="equal">
      <formula>"Corazón · Mantener"</formula>
    </cfRule>
    <cfRule type="cellIs" dxfId="10" priority="3" operator="equal">
      <formula>"Árbol de dinero · Cultivar"</formula>
    </cfRule>
    <cfRule type="cellIs" dxfId="9" priority="4" operator="equal">
      <formula>"Señal de pare · Cerrar"</formula>
    </cfRule>
  </conditionalFormatting>
  <dataValidations count="1">
    <dataValidation type="whole" allowBlank="1" error="Escribe un número del 1 al 4." sqref="C8:D15" xr:uid="{00000000-0002-0000-0800-000000000000}">
      <formula1>1</formula1>
      <formula2>4</formula2>
    </dataValidation>
  </dataValidations>
  <pageMargins left="0.4" right="0.4" top="0.5" bottom="0.5" header="0.5" footer="0.5"/>
  <pageSetup orientation="portrait"/>
  <headerFooter>
    <oddFooter>&amp;C&amp;8 Mi Plan de Negocio Preliminar · Asesores Financieros Comunitarios, Inc. · Página &amp;P de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7941D"/>
    <pageSetUpPr fitToPage="1"/>
  </sheetPr>
  <dimension ref="B1:J35"/>
  <sheetViews>
    <sheetView showGridLines="0" workbookViewId="0"/>
  </sheetViews>
  <sheetFormatPr defaultRowHeight="14.4" x14ac:dyDescent="0.3"/>
  <cols>
    <col min="1" max="1" width="2" customWidth="1"/>
    <col min="2" max="2" width="40" customWidth="1"/>
    <col min="3" max="3" width="10" customWidth="1"/>
    <col min="4" max="5" width="14" customWidth="1"/>
    <col min="6" max="9" width="12" customWidth="1"/>
    <col min="10" max="10" width="14" customWidth="1"/>
  </cols>
  <sheetData>
    <row r="1" spans="2:10" ht="7.95" customHeight="1" x14ac:dyDescent="0.3"/>
    <row r="2" spans="2:10" ht="30" customHeight="1" x14ac:dyDescent="0.3">
      <c r="B2" s="101" t="s">
        <v>334</v>
      </c>
      <c r="C2" s="97"/>
      <c r="D2" s="97"/>
      <c r="E2" s="97"/>
      <c r="F2" s="97"/>
      <c r="G2" s="97"/>
      <c r="H2" s="97"/>
      <c r="I2" s="97"/>
      <c r="J2" s="97"/>
    </row>
    <row r="3" spans="2:10" ht="22.05" customHeight="1" x14ac:dyDescent="0.3">
      <c r="B3" s="104" t="s">
        <v>335</v>
      </c>
      <c r="C3" s="105"/>
      <c r="D3" s="105"/>
      <c r="E3" s="105"/>
      <c r="F3" s="105"/>
      <c r="G3" s="105"/>
      <c r="H3" s="105"/>
      <c r="I3" s="105"/>
      <c r="J3" s="105"/>
    </row>
    <row r="5" spans="2:10" ht="19.95" customHeight="1" x14ac:dyDescent="0.3">
      <c r="B5" s="102" t="s">
        <v>336</v>
      </c>
      <c r="C5" s="103"/>
      <c r="D5" s="103"/>
      <c r="E5" s="103"/>
      <c r="F5" s="103"/>
      <c r="G5" s="103"/>
      <c r="H5" s="103"/>
      <c r="I5" s="103"/>
      <c r="J5" s="103"/>
    </row>
    <row r="6" spans="2:10" ht="31.95" customHeight="1" x14ac:dyDescent="0.3">
      <c r="B6" s="16" t="s">
        <v>337</v>
      </c>
      <c r="C6" s="122"/>
      <c r="D6" s="122"/>
      <c r="E6" s="122"/>
      <c r="F6" s="122"/>
      <c r="G6" s="122"/>
      <c r="H6" s="122"/>
      <c r="I6" s="122"/>
      <c r="J6" s="122"/>
    </row>
    <row r="7" spans="2:10" x14ac:dyDescent="0.3">
      <c r="B7" s="107" t="str">
        <f>IF(Tipo="OSFL","Ej.: Probar que Manos que Alimentan puede servir a 40 adultos mayores cada día.","Ej.: Que Tostadero La Loma sea el café de los colmados del pueblo.")</f>
        <v>Ej.: Que Tostadero La Loma sea el café de los colmados del pueblo.</v>
      </c>
      <c r="C7" s="91"/>
      <c r="D7" s="91"/>
      <c r="E7" s="91"/>
      <c r="F7" s="91"/>
      <c r="G7" s="91"/>
      <c r="H7" s="91"/>
      <c r="I7" s="91"/>
      <c r="J7" s="91"/>
    </row>
    <row r="8" spans="2:10" x14ac:dyDescent="0.3">
      <c r="B8" s="28" t="s">
        <v>338</v>
      </c>
      <c r="C8" s="124" t="s">
        <v>339</v>
      </c>
      <c r="D8" s="91"/>
      <c r="E8" s="91"/>
      <c r="F8" s="91"/>
      <c r="G8" s="29" t="s">
        <v>340</v>
      </c>
      <c r="H8" s="29" t="s">
        <v>341</v>
      </c>
      <c r="I8" s="29" t="s">
        <v>13</v>
      </c>
      <c r="J8" s="28"/>
    </row>
    <row r="9" spans="2:10" ht="28.05" customHeight="1" x14ac:dyDescent="0.3">
      <c r="B9" s="16" t="s">
        <v>342</v>
      </c>
      <c r="C9" s="122"/>
      <c r="D9" s="122"/>
      <c r="E9" s="122"/>
      <c r="F9" s="122"/>
      <c r="G9" s="36"/>
      <c r="H9" s="36"/>
      <c r="I9" s="8" t="str">
        <f>IF(OR(G9="",G9=0,H9=""),"",MIN(1,H9/G9))</f>
        <v/>
      </c>
    </row>
    <row r="10" spans="2:10" ht="28.05" customHeight="1" x14ac:dyDescent="0.3">
      <c r="B10" s="16" t="s">
        <v>343</v>
      </c>
      <c r="C10" s="122"/>
      <c r="D10" s="122"/>
      <c r="E10" s="122"/>
      <c r="F10" s="122"/>
      <c r="G10" s="36"/>
      <c r="H10" s="36"/>
      <c r="I10" s="8" t="str">
        <f>IF(OR(G10="",G10=0,H10=""),"",MIN(1,H10/G10))</f>
        <v/>
      </c>
    </row>
    <row r="11" spans="2:10" ht="28.05" customHeight="1" x14ac:dyDescent="0.3">
      <c r="B11" s="16" t="s">
        <v>344</v>
      </c>
      <c r="C11" s="122"/>
      <c r="D11" s="122"/>
      <c r="E11" s="122"/>
      <c r="F11" s="122"/>
      <c r="G11" s="36"/>
      <c r="H11" s="36"/>
      <c r="I11" s="8" t="str">
        <f>IF(OR(G11="",G11=0,H11=""),"",MIN(1,H11/G11))</f>
        <v/>
      </c>
    </row>
    <row r="12" spans="2:10" x14ac:dyDescent="0.3">
      <c r="B12" s="107" t="str">
        <f>IF(Tipo="OSFL","Ej.: KR1 Entregar 800 almuerzos al mes · KR2 Lograr 25 donantes recurrentes · KR3 Recaudar $4,000 entre GivingTuesday y Reyes.","Ej.: KR1 Vender en 12 colmados · KR2 Vender 400 bolsas al mes · KR3 Lograr 30 suscripciones mensuales.")</f>
        <v>Ej.: KR1 Vender en 12 colmados · KR2 Vender 400 bolsas al mes · KR3 Lograr 30 suscripciones mensuales.</v>
      </c>
      <c r="C12" s="91"/>
      <c r="D12" s="91"/>
      <c r="E12" s="91"/>
      <c r="F12" s="91"/>
      <c r="G12" s="91"/>
      <c r="H12" s="91"/>
      <c r="I12" s="91"/>
      <c r="J12" s="91"/>
    </row>
    <row r="14" spans="2:10" ht="19.95" customHeight="1" x14ac:dyDescent="0.3">
      <c r="B14" s="123" t="s">
        <v>345</v>
      </c>
      <c r="C14" s="105"/>
      <c r="D14" s="105"/>
      <c r="E14" s="105"/>
      <c r="F14" s="105"/>
      <c r="G14" s="105"/>
      <c r="H14" s="105"/>
      <c r="I14" s="105"/>
      <c r="J14" s="105"/>
    </row>
    <row r="15" spans="2:10" x14ac:dyDescent="0.3">
      <c r="B15" s="3" t="s">
        <v>346</v>
      </c>
      <c r="C15" s="3" t="s">
        <v>347</v>
      </c>
      <c r="D15" s="3" t="s">
        <v>348</v>
      </c>
      <c r="E15" s="3" t="s">
        <v>349</v>
      </c>
      <c r="F15" s="3" t="s">
        <v>350</v>
      </c>
      <c r="G15" s="3" t="s">
        <v>351</v>
      </c>
      <c r="H15" s="3" t="s">
        <v>352</v>
      </c>
      <c r="I15" s="3" t="s">
        <v>353</v>
      </c>
      <c r="J15" s="3" t="s">
        <v>14</v>
      </c>
    </row>
    <row r="16" spans="2:10" ht="24" customHeight="1" x14ac:dyDescent="0.3">
      <c r="B16" s="17"/>
      <c r="C16" s="30"/>
      <c r="D16" s="30"/>
      <c r="E16" s="30"/>
      <c r="F16" s="30"/>
      <c r="G16" s="30"/>
      <c r="H16" s="69"/>
      <c r="I16" s="69"/>
      <c r="J16" s="30"/>
    </row>
    <row r="17" spans="2:10" ht="24" customHeight="1" x14ac:dyDescent="0.3">
      <c r="B17" s="17"/>
      <c r="C17" s="30"/>
      <c r="D17" s="30"/>
      <c r="E17" s="30"/>
      <c r="F17" s="30"/>
      <c r="G17" s="30"/>
      <c r="H17" s="69"/>
      <c r="I17" s="69"/>
      <c r="J17" s="30"/>
    </row>
    <row r="18" spans="2:10" ht="24" customHeight="1" x14ac:dyDescent="0.3">
      <c r="B18" s="17"/>
      <c r="C18" s="30"/>
      <c r="D18" s="30"/>
      <c r="E18" s="30"/>
      <c r="F18" s="30"/>
      <c r="G18" s="30"/>
      <c r="H18" s="69"/>
      <c r="I18" s="69"/>
      <c r="J18" s="30"/>
    </row>
    <row r="19" spans="2:10" ht="24" customHeight="1" x14ac:dyDescent="0.3">
      <c r="B19" s="17"/>
      <c r="C19" s="30"/>
      <c r="D19" s="30"/>
      <c r="E19" s="30"/>
      <c r="F19" s="30"/>
      <c r="G19" s="30"/>
      <c r="H19" s="69"/>
      <c r="I19" s="69"/>
      <c r="J19" s="30"/>
    </row>
    <row r="20" spans="2:10" ht="24" customHeight="1" x14ac:dyDescent="0.3">
      <c r="B20" s="17"/>
      <c r="C20" s="30"/>
      <c r="D20" s="30"/>
      <c r="E20" s="30"/>
      <c r="F20" s="30"/>
      <c r="G20" s="30"/>
      <c r="H20" s="69"/>
      <c r="I20" s="69"/>
      <c r="J20" s="30"/>
    </row>
    <row r="21" spans="2:10" ht="24" customHeight="1" x14ac:dyDescent="0.3">
      <c r="B21" s="17"/>
      <c r="C21" s="30"/>
      <c r="D21" s="30"/>
      <c r="E21" s="30"/>
      <c r="F21" s="30"/>
      <c r="G21" s="30"/>
      <c r="H21" s="69"/>
      <c r="I21" s="69"/>
      <c r="J21" s="30"/>
    </row>
    <row r="22" spans="2:10" ht="24" customHeight="1" x14ac:dyDescent="0.3">
      <c r="B22" s="17"/>
      <c r="C22" s="30"/>
      <c r="D22" s="30"/>
      <c r="E22" s="30"/>
      <c r="F22" s="30"/>
      <c r="G22" s="30"/>
      <c r="H22" s="69"/>
      <c r="I22" s="69"/>
      <c r="J22" s="30"/>
    </row>
    <row r="23" spans="2:10" ht="24" customHeight="1" x14ac:dyDescent="0.3">
      <c r="B23" s="17"/>
      <c r="C23" s="30"/>
      <c r="D23" s="30"/>
      <c r="E23" s="30"/>
      <c r="F23" s="30"/>
      <c r="G23" s="30"/>
      <c r="H23" s="69"/>
      <c r="I23" s="69"/>
      <c r="J23" s="30"/>
    </row>
    <row r="24" spans="2:10" ht="24" customHeight="1" x14ac:dyDescent="0.3">
      <c r="B24" s="17"/>
      <c r="C24" s="30"/>
      <c r="D24" s="30"/>
      <c r="E24" s="30"/>
      <c r="F24" s="30"/>
      <c r="G24" s="30"/>
      <c r="H24" s="69"/>
      <c r="I24" s="69"/>
      <c r="J24" s="30"/>
    </row>
    <row r="25" spans="2:10" ht="24" customHeight="1" x14ac:dyDescent="0.3">
      <c r="B25" s="17"/>
      <c r="C25" s="30"/>
      <c r="D25" s="30"/>
      <c r="E25" s="30"/>
      <c r="F25" s="30"/>
      <c r="G25" s="30"/>
      <c r="H25" s="69"/>
      <c r="I25" s="69"/>
      <c r="J25" s="30"/>
    </row>
    <row r="26" spans="2:10" x14ac:dyDescent="0.3">
      <c r="B26" s="16" t="s">
        <v>354</v>
      </c>
      <c r="C26" s="133" t="str">
        <f>IF(COUNTA(B16:B25)=0,"",COUNTIF(J16:J25,"Completada")&amp;" de "&amp;COUNTA(B16:B25))</f>
        <v/>
      </c>
      <c r="D26" s="131"/>
    </row>
    <row r="28" spans="2:10" ht="19.95" customHeight="1" x14ac:dyDescent="0.3">
      <c r="B28" s="106" t="s">
        <v>355</v>
      </c>
      <c r="C28" s="97"/>
      <c r="D28" s="97"/>
      <c r="E28" s="97"/>
      <c r="F28" s="97"/>
      <c r="G28" s="97"/>
      <c r="H28" s="97"/>
      <c r="I28" s="97"/>
      <c r="J28" s="97"/>
    </row>
    <row r="29" spans="2:10" ht="22.05" customHeight="1" x14ac:dyDescent="0.3">
      <c r="B29" s="16" t="s">
        <v>356</v>
      </c>
      <c r="C29" s="122"/>
      <c r="D29" s="122"/>
      <c r="E29" s="122"/>
      <c r="F29" s="122"/>
    </row>
    <row r="30" spans="2:10" ht="22.05" customHeight="1" x14ac:dyDescent="0.3">
      <c r="B30" s="16" t="s">
        <v>357</v>
      </c>
      <c r="C30" s="122"/>
      <c r="D30" s="122"/>
      <c r="E30" s="122"/>
      <c r="F30" s="122"/>
    </row>
    <row r="31" spans="2:10" ht="22.05" customHeight="1" x14ac:dyDescent="0.3">
      <c r="B31" s="16" t="s">
        <v>358</v>
      </c>
      <c r="C31" s="139" t="str">
        <f>IF('1 Mi Ficha'!C13="","(escribe la fecha del taller en Mi Ficha)",'1 Mi Ficha'!C13+90)</f>
        <v>(escribe la fecha del taller en Mi Ficha)</v>
      </c>
      <c r="D31" s="130"/>
      <c r="E31" s="130"/>
      <c r="F31" s="131"/>
    </row>
    <row r="33" spans="2:10" ht="22.05" customHeight="1" x14ac:dyDescent="0.3">
      <c r="B33" s="43" t="s">
        <v>359</v>
      </c>
      <c r="C33" s="100"/>
      <c r="D33" s="100"/>
      <c r="E33" s="100"/>
      <c r="F33" s="100"/>
      <c r="G33" s="100"/>
      <c r="H33" s="100"/>
      <c r="I33" s="100"/>
      <c r="J33" s="100"/>
    </row>
    <row r="34" spans="2:10" ht="22.05" customHeight="1" x14ac:dyDescent="0.3">
      <c r="C34" s="100"/>
      <c r="D34" s="100"/>
      <c r="E34" s="100"/>
      <c r="F34" s="100"/>
      <c r="G34" s="100"/>
      <c r="H34" s="100"/>
      <c r="I34" s="100"/>
      <c r="J34" s="100"/>
    </row>
    <row r="35" spans="2:10" ht="22.05" customHeight="1" x14ac:dyDescent="0.3">
      <c r="C35" s="100"/>
      <c r="D35" s="100"/>
      <c r="E35" s="100"/>
      <c r="F35" s="100"/>
      <c r="G35" s="100"/>
      <c r="H35" s="100"/>
      <c r="I35" s="100"/>
      <c r="J35" s="100"/>
    </row>
  </sheetData>
  <sheetProtection sheet="1" formatCells="0" formatColumns="0" formatRows="0"/>
  <mergeCells count="17">
    <mergeCell ref="B2:J2"/>
    <mergeCell ref="C33:J35"/>
    <mergeCell ref="C11:F11"/>
    <mergeCell ref="C10:F10"/>
    <mergeCell ref="B12:J12"/>
    <mergeCell ref="C26:D26"/>
    <mergeCell ref="B7:J7"/>
    <mergeCell ref="C9:F9"/>
    <mergeCell ref="B3:J3"/>
    <mergeCell ref="B5:J5"/>
    <mergeCell ref="C31:F31"/>
    <mergeCell ref="C8:F8"/>
    <mergeCell ref="B28:J28"/>
    <mergeCell ref="C6:J6"/>
    <mergeCell ref="B14:J14"/>
    <mergeCell ref="C29:F29"/>
    <mergeCell ref="C30:F30"/>
  </mergeCells>
  <conditionalFormatting sqref="J16:J25">
    <cfRule type="cellIs" dxfId="8" priority="1" operator="equal">
      <formula>"Completada"</formula>
    </cfRule>
    <cfRule type="cellIs" dxfId="7" priority="2" operator="equal">
      <formula>"En curso"</formula>
    </cfRule>
    <cfRule type="cellIs" dxfId="6" priority="3" operator="equal">
      <formula>"Bloqueada"</formula>
    </cfRule>
  </conditionalFormatting>
  <dataValidations count="2">
    <dataValidation type="list" allowBlank="1" errorTitle="Opción no válida" error="Escoge una opción de la lista." sqref="C16:C25" xr:uid="{00000000-0002-0000-0900-000000000000}">
      <formula1>"1,2,3"</formula1>
    </dataValidation>
    <dataValidation type="list" allowBlank="1" errorTitle="Opción no válida" error="Escoge una opción de la lista." sqref="J16:J25" xr:uid="{00000000-0002-0000-0900-000001000000}">
      <formula1>"No iniciada,En curso,Completada,Bloqueada"</formula1>
    </dataValidation>
  </dataValidations>
  <pageMargins left="0.4" right="0.4" top="0.5" bottom="0.5" header="0.5" footer="0.5"/>
  <pageSetup orientation="landscape"/>
  <headerFooter>
    <oddFooter>&amp;C&amp;8 Mi Plan de Negocio Preliminar · Asesores Financieros Comunitarios, Inc. · Página &amp;P de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325F62"/>
    <pageSetUpPr fitToPage="1"/>
  </sheetPr>
  <dimension ref="B1:E33"/>
  <sheetViews>
    <sheetView showGridLines="0" workbookViewId="0"/>
  </sheetViews>
  <sheetFormatPr defaultRowHeight="14.4" x14ac:dyDescent="0.3"/>
  <cols>
    <col min="1" max="1" width="2" customWidth="1"/>
    <col min="2" max="2" width="28" customWidth="1"/>
    <col min="3" max="3" width="34" customWidth="1"/>
    <col min="4" max="4" width="28" customWidth="1"/>
    <col min="5" max="5" width="34" customWidth="1"/>
  </cols>
  <sheetData>
    <row r="1" spans="2:5" ht="7.95" customHeight="1" x14ac:dyDescent="0.3"/>
    <row r="2" spans="2:5" ht="30" customHeight="1" x14ac:dyDescent="0.3">
      <c r="B2" s="101" t="s">
        <v>360</v>
      </c>
      <c r="C2" s="97"/>
      <c r="D2" s="97"/>
      <c r="E2" s="97"/>
    </row>
    <row r="3" spans="2:5" ht="22.05" customHeight="1" x14ac:dyDescent="0.3">
      <c r="B3" s="104" t="s">
        <v>361</v>
      </c>
      <c r="C3" s="105"/>
      <c r="D3" s="105"/>
      <c r="E3" s="105"/>
    </row>
    <row r="5" spans="2:5" ht="19.95" customHeight="1" x14ac:dyDescent="0.3">
      <c r="B5" s="106" t="s">
        <v>362</v>
      </c>
      <c r="C5" s="97"/>
      <c r="D5" s="97"/>
      <c r="E5" s="97"/>
    </row>
    <row r="6" spans="2:5" ht="30" customHeight="1" x14ac:dyDescent="0.3">
      <c r="B6" s="70" t="s">
        <v>363</v>
      </c>
      <c r="C6" s="68" t="str">
        <f>IF('1 Mi Ficha'!C6="","—",'1 Mi Ficha'!C6)</f>
        <v>—</v>
      </c>
      <c r="D6" s="70" t="s">
        <v>364</v>
      </c>
      <c r="E6" s="68" t="str">
        <f>'1 Mi Ficha'!C7&amp;" · "&amp;IF('1 Mi Ficha'!C9="","—",'1 Mi Ficha'!C9)</f>
        <v>PyME · —</v>
      </c>
    </row>
    <row r="7" spans="2:5" ht="30" customHeight="1" x14ac:dyDescent="0.3">
      <c r="B7" s="70" t="s">
        <v>64</v>
      </c>
      <c r="C7" s="68" t="str">
        <f>IF('1 Mi Ficha'!C8="","—",'1 Mi Ficha'!C8)</f>
        <v>—</v>
      </c>
      <c r="D7" s="70" t="s">
        <v>365</v>
      </c>
      <c r="E7" s="68" t="str">
        <f>IF('1 Mi Ficha'!C10="","—",'1 Mi Ficha'!C10)</f>
        <v>—</v>
      </c>
    </row>
    <row r="8" spans="2:5" ht="30" customHeight="1" x14ac:dyDescent="0.3">
      <c r="B8" s="70" t="s">
        <v>366</v>
      </c>
      <c r="C8" s="141" t="str">
        <f>IF('1 Mi Ficha'!C21="","—",'1 Mi Ficha'!C21)</f>
        <v>—</v>
      </c>
      <c r="D8" s="113"/>
      <c r="E8" s="113"/>
    </row>
    <row r="10" spans="2:5" ht="19.95" customHeight="1" x14ac:dyDescent="0.3">
      <c r="B10" s="102" t="s">
        <v>367</v>
      </c>
      <c r="C10" s="103"/>
      <c r="D10" s="103"/>
      <c r="E10" s="103"/>
    </row>
    <row r="11" spans="2:5" ht="43.95" customHeight="1" x14ac:dyDescent="0.3">
      <c r="B11" s="70" t="s">
        <v>368</v>
      </c>
      <c r="C11" s="140" t="str">
        <f>IF(COUNTA('3 Propuesta y Filtro'!C6:C10)&lt;5,"—",'3 Propuesta y Filtro'!C11)</f>
        <v>—</v>
      </c>
      <c r="D11" s="113"/>
      <c r="E11" s="113"/>
    </row>
    <row r="12" spans="2:5" ht="36" customHeight="1" x14ac:dyDescent="0.3">
      <c r="B12" s="70" t="s">
        <v>369</v>
      </c>
      <c r="C12" s="68" t="str">
        <f>IF('3 Propuesta y Filtro'!C15="","—",'3 Propuesta y Filtro'!C15)</f>
        <v>—</v>
      </c>
      <c r="D12" s="70" t="s">
        <v>370</v>
      </c>
      <c r="E12" s="68" t="str">
        <f>IF('3 Propuesta y Filtro'!C16="","—",'3 Propuesta y Filtro'!C16)</f>
        <v>—</v>
      </c>
    </row>
    <row r="13" spans="2:5" ht="36" customHeight="1" x14ac:dyDescent="0.3">
      <c r="B13" s="70" t="str">
        <f>IF(Tipo="OSFL","Beneficiarios y quién financia","Clientes")</f>
        <v>Clientes</v>
      </c>
      <c r="C13" s="68" t="str">
        <f>IF('2 Canvas'!J7="","—",'2 Canvas'!J7)</f>
        <v>—</v>
      </c>
      <c r="D13" s="70" t="s">
        <v>371</v>
      </c>
      <c r="E13" s="68" t="str">
        <f>IF('3 Propuesta y Filtro'!C17="","—",'3 Propuesta y Filtro'!C17)</f>
        <v>—</v>
      </c>
    </row>
    <row r="14" spans="2:5" ht="36" customHeight="1" x14ac:dyDescent="0.3">
      <c r="B14" s="70" t="s">
        <v>372</v>
      </c>
      <c r="C14" s="68" t="str">
        <f>IF('2 Canvas'!H14="","—",'2 Canvas'!H14)</f>
        <v>—</v>
      </c>
      <c r="D14" s="70" t="str">
        <f>IF(Tipo="OSFL","Fuentes de fondos","Fuentes de ingreso")</f>
        <v>Fuentes de ingreso</v>
      </c>
      <c r="E14" s="68" t="str">
        <f>IF('2 Canvas'!G23="","—",'2 Canvas'!G23)</f>
        <v>—</v>
      </c>
    </row>
    <row r="16" spans="2:5" ht="19.95" customHeight="1" x14ac:dyDescent="0.3">
      <c r="B16" s="123" t="s">
        <v>373</v>
      </c>
      <c r="C16" s="105"/>
      <c r="D16" s="105"/>
      <c r="E16" s="105"/>
    </row>
    <row r="17" spans="2:5" ht="30" customHeight="1" x14ac:dyDescent="0.3">
      <c r="B17" s="70" t="s">
        <v>374</v>
      </c>
      <c r="C17" s="141" t="str">
        <f>IF('4 Validación'!B7="","—",'4 Validación'!B7)</f>
        <v>—</v>
      </c>
      <c r="D17" s="113"/>
      <c r="E17" s="113"/>
    </row>
    <row r="18" spans="2:5" ht="34.049999999999997" customHeight="1" x14ac:dyDescent="0.3">
      <c r="B18" s="70" t="s">
        <v>375</v>
      </c>
      <c r="C18" s="68" t="str">
        <f>IF('4 Validación'!C21="","—",'4 Validación'!C21)</f>
        <v>—</v>
      </c>
      <c r="D18" s="70" t="s">
        <v>376</v>
      </c>
      <c r="E18" s="68" t="str">
        <f>IF('4 Validación'!C24="","—",TEXT('4 Validación'!C24,"#,##0")&amp;IF('4 Validación'!C25="",""," · desde "&amp;TEXT('4 Validación'!C25,"dd/mm/yyyy")))</f>
        <v>—</v>
      </c>
    </row>
    <row r="19" spans="2:5" ht="34.049999999999997" customHeight="1" x14ac:dyDescent="0.3">
      <c r="B19" s="70" t="s">
        <v>377</v>
      </c>
      <c r="C19" s="68" t="str">
        <f>'4 Validación'!C32</f>
        <v>(Escribe la meta numérica y el resultado real)</v>
      </c>
      <c r="D19" s="70" t="s">
        <v>378</v>
      </c>
      <c r="E19" s="68" t="str">
        <f>IF('4 Validación'!C28="","—",'4 Validación'!C28&amp;" personas")</f>
        <v>—</v>
      </c>
    </row>
    <row r="21" spans="2:5" ht="19.95" customHeight="1" x14ac:dyDescent="0.3">
      <c r="B21" s="126" t="s">
        <v>379</v>
      </c>
      <c r="C21" s="111"/>
      <c r="D21" s="111"/>
      <c r="E21" s="111"/>
    </row>
    <row r="22" spans="2:5" ht="30" customHeight="1" x14ac:dyDescent="0.3">
      <c r="B22" s="70" t="s">
        <v>380</v>
      </c>
      <c r="C22" s="140" t="str">
        <f>'6 Números'!C5</f>
        <v>Completa las secciones A y D</v>
      </c>
      <c r="D22" s="113"/>
      <c r="E22" s="113"/>
    </row>
    <row r="23" spans="2:5" ht="24" customHeight="1" x14ac:dyDescent="0.3">
      <c r="B23" s="70" t="s">
        <v>381</v>
      </c>
      <c r="C23" s="71">
        <f>'6 Números'!C22</f>
        <v>0</v>
      </c>
      <c r="D23" s="70" t="s">
        <v>382</v>
      </c>
      <c r="E23" s="71">
        <f>'6 Números'!D83</f>
        <v>0</v>
      </c>
    </row>
    <row r="24" spans="2:5" ht="24" customHeight="1" x14ac:dyDescent="0.3">
      <c r="B24" s="70" t="s">
        <v>383</v>
      </c>
      <c r="C24" s="71">
        <f>'7 Flujo de Caja'!C32</f>
        <v>0</v>
      </c>
      <c r="D24" s="70" t="s">
        <v>384</v>
      </c>
      <c r="E24" s="68" t="str">
        <f>'7 Flujo de Caja'!I32</f>
        <v>—</v>
      </c>
    </row>
    <row r="25" spans="2:5" ht="24" customHeight="1" x14ac:dyDescent="0.3">
      <c r="B25" s="70" t="s">
        <v>385</v>
      </c>
      <c r="C25" s="72">
        <f>'5 Realidad PR'!C24</f>
        <v>13</v>
      </c>
      <c r="D25" s="70" t="s">
        <v>386</v>
      </c>
      <c r="E25" s="73">
        <f>'7 Flujo de Caja'!O30</f>
        <v>0</v>
      </c>
    </row>
    <row r="26" spans="2:5" ht="30" customHeight="1" x14ac:dyDescent="0.3">
      <c r="B26" s="70" t="s">
        <v>387</v>
      </c>
      <c r="C26" s="68" t="str">
        <f>IF('11 Resumen Ejecutivo'!C7="",IF('11 Resumen Ejecutivo'!C6="","—",'11 Resumen Ejecutivo'!C6),"$"&amp;TEXT('11 Resumen Ejecutivo'!C7,"#,##0")&amp;IF('11 Resumen Ejecutivo'!C6="",""," · "&amp;'11 Resumen Ejecutivo'!C6))</f>
        <v>—</v>
      </c>
      <c r="D26" s="70" t="s">
        <v>388</v>
      </c>
      <c r="E26" s="68" t="str">
        <f>IF('11 Resumen Ejecutivo'!C8="","—",'11 Resumen Ejecutivo'!C8)</f>
        <v>—</v>
      </c>
    </row>
    <row r="27" spans="2:5" ht="19.95" customHeight="1" x14ac:dyDescent="0.3">
      <c r="B27" s="106" t="s">
        <v>389</v>
      </c>
      <c r="C27" s="97"/>
      <c r="D27" s="97"/>
      <c r="E27" s="97"/>
    </row>
    <row r="28" spans="2:5" ht="30" customHeight="1" x14ac:dyDescent="0.3">
      <c r="B28" s="70" t="s">
        <v>390</v>
      </c>
      <c r="C28" s="140" t="str">
        <f>IF('9 Plan 90 Días'!C6="","—",'9 Plan 90 Días'!C6)</f>
        <v>—</v>
      </c>
      <c r="D28" s="113"/>
      <c r="E28" s="113"/>
    </row>
    <row r="29" spans="2:5" ht="40.049999999999997" customHeight="1" x14ac:dyDescent="0.3">
      <c r="B29" s="70" t="s">
        <v>391</v>
      </c>
      <c r="C29" s="141" t="str">
        <f>IF('9 Plan 90 Días'!C9="","—","1) "&amp;'9 Plan 90 Días'!C9&amp;IF('9 Plan 90 Días'!C10="",""," · 2) "&amp;'9 Plan 90 Días'!C10)&amp;IF('9 Plan 90 Días'!C11="",""," · 3) "&amp;'9 Plan 90 Días'!C11))</f>
        <v>—</v>
      </c>
      <c r="D29" s="113"/>
      <c r="E29" s="113"/>
    </row>
    <row r="30" spans="2:5" ht="24" customHeight="1" x14ac:dyDescent="0.3">
      <c r="B30" s="70" t="s">
        <v>392</v>
      </c>
      <c r="C30" s="68" t="str">
        <f>IF('9 Plan 90 Días'!C29="","—",'9 Plan 90 Días'!C29)</f>
        <v>—</v>
      </c>
      <c r="D30" s="70" t="s">
        <v>393</v>
      </c>
      <c r="E30" s="74" t="str">
        <f>'9 Plan 90 Días'!C31</f>
        <v>(escribe la fecha del taller en Mi Ficha)</v>
      </c>
    </row>
    <row r="31" spans="2:5" ht="40.049999999999997" customHeight="1" x14ac:dyDescent="0.3">
      <c r="B31" s="70" t="s">
        <v>394</v>
      </c>
      <c r="C31" s="140" t="str">
        <f>IF('9 Plan 90 Días'!C33="","—",'9 Plan 90 Días'!C33)</f>
        <v>—</v>
      </c>
      <c r="D31" s="113"/>
      <c r="E31" s="113"/>
    </row>
    <row r="33" spans="2:5" x14ac:dyDescent="0.3">
      <c r="B33" s="107" t="s">
        <v>395</v>
      </c>
      <c r="C33" s="91"/>
      <c r="D33" s="91"/>
      <c r="E33" s="91"/>
    </row>
  </sheetData>
  <sheetProtection sheet="1" formatCells="0" formatColumns="0" formatRows="0"/>
  <mergeCells count="15">
    <mergeCell ref="B3:E3"/>
    <mergeCell ref="B5:E5"/>
    <mergeCell ref="B2:E2"/>
    <mergeCell ref="B10:E10"/>
    <mergeCell ref="C8:E8"/>
    <mergeCell ref="B16:E16"/>
    <mergeCell ref="C22:E22"/>
    <mergeCell ref="B33:E33"/>
    <mergeCell ref="C17:E17"/>
    <mergeCell ref="B27:E27"/>
    <mergeCell ref="C11:E11"/>
    <mergeCell ref="C28:E28"/>
    <mergeCell ref="C29:E29"/>
    <mergeCell ref="C31:E31"/>
    <mergeCell ref="B21:E21"/>
  </mergeCells>
  <pageMargins left="0.4" right="0.4" top="0.5" bottom="0.5" header="0.5" footer="0.5"/>
  <pageSetup orientation="portrait"/>
  <headerFooter>
    <oddFooter>&amp;C&amp;8 Mi Plan de Negocio Preliminar · Asesores Financieros Comunitarios, Inc. · Página &amp;P de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7941D"/>
    <pageSetUpPr fitToPage="1"/>
  </sheetPr>
  <dimension ref="B1:F46"/>
  <sheetViews>
    <sheetView showGridLines="0" workbookViewId="0"/>
  </sheetViews>
  <sheetFormatPr defaultRowHeight="14.4" x14ac:dyDescent="0.3"/>
  <cols>
    <col min="1" max="1" width="2" customWidth="1"/>
    <col min="2" max="2" width="30" customWidth="1"/>
    <col min="3" max="5" width="22" customWidth="1"/>
    <col min="6" max="6" width="16" customWidth="1"/>
  </cols>
  <sheetData>
    <row r="1" spans="2:6" ht="7.95" customHeight="1" x14ac:dyDescent="0.3"/>
    <row r="2" spans="2:6" ht="30" customHeight="1" x14ac:dyDescent="0.3">
      <c r="B2" s="101" t="s">
        <v>396</v>
      </c>
      <c r="C2" s="97"/>
      <c r="D2" s="97"/>
      <c r="E2" s="97"/>
      <c r="F2" s="97"/>
    </row>
    <row r="3" spans="2:6" ht="22.05" customHeight="1" x14ac:dyDescent="0.3">
      <c r="B3" s="104" t="s">
        <v>397</v>
      </c>
      <c r="C3" s="105"/>
      <c r="D3" s="105"/>
      <c r="E3" s="105"/>
      <c r="F3" s="105"/>
    </row>
    <row r="5" spans="2:6" ht="19.95" customHeight="1" x14ac:dyDescent="0.3">
      <c r="B5" s="132" t="s">
        <v>398</v>
      </c>
      <c r="C5" s="121"/>
      <c r="D5" s="121"/>
      <c r="E5" s="121"/>
      <c r="F5" s="121"/>
    </row>
    <row r="6" spans="2:6" ht="30" customHeight="1" x14ac:dyDescent="0.3">
      <c r="B6" s="16" t="s">
        <v>399</v>
      </c>
      <c r="C6" s="17"/>
      <c r="D6" s="107" t="s">
        <v>400</v>
      </c>
      <c r="E6" s="91"/>
      <c r="F6" s="91"/>
    </row>
    <row r="7" spans="2:6" ht="30" customHeight="1" x14ac:dyDescent="0.3">
      <c r="B7" s="16" t="s">
        <v>401</v>
      </c>
      <c r="C7" s="34"/>
      <c r="D7" s="107" t="str">
        <f>IF(Tipo="OSFL","Ej.: $24,000 para operar el programa de almuerzos durante 12 meses","Ej.: $12,000 a cinco años para una segunda tostadora y capital de trabajo")</f>
        <v>Ej.: $12,000 a cinco años para una segunda tostadora y capital de trabajo</v>
      </c>
      <c r="E7" s="91"/>
      <c r="F7" s="91"/>
    </row>
    <row r="8" spans="2:6" ht="30" customHeight="1" x14ac:dyDescent="0.3">
      <c r="B8" s="16" t="s">
        <v>402</v>
      </c>
      <c r="C8" s="122"/>
      <c r="D8" s="122"/>
      <c r="E8" s="122"/>
      <c r="F8" s="122"/>
    </row>
    <row r="9" spans="2:6" ht="30" customHeight="1" x14ac:dyDescent="0.3">
      <c r="B9" s="16" t="s">
        <v>403</v>
      </c>
      <c r="C9" s="122"/>
      <c r="D9" s="122"/>
      <c r="E9" s="122"/>
      <c r="F9" s="122"/>
    </row>
    <row r="10" spans="2:6" ht="18" customHeight="1" x14ac:dyDescent="0.3">
      <c r="B10" s="107" t="str">
        <f>IF(Tipo="OSFL","Ej.: Con $24,000 se garantizan 6,000 almuerzos: $4.00 por almuerzo, con informe mensual al donante.","Ej.: El pago de $260 mensuales cabe dentro de la ganancia esperada de $750.")</f>
        <v>Ej.: El pago de $260 mensuales cabe dentro de la ganancia esperada de $750.</v>
      </c>
      <c r="C10" s="91"/>
      <c r="D10" s="91"/>
      <c r="E10" s="91"/>
      <c r="F10" s="91"/>
    </row>
    <row r="12" spans="2:6" ht="19.95" customHeight="1" x14ac:dyDescent="0.3">
      <c r="B12" s="123" t="s">
        <v>404</v>
      </c>
      <c r="C12" s="105"/>
      <c r="D12" s="105"/>
      <c r="E12" s="105"/>
      <c r="F12" s="105"/>
    </row>
    <row r="13" spans="2:6" ht="49.95" customHeight="1" x14ac:dyDescent="0.3">
      <c r="B13" s="16" t="s">
        <v>405</v>
      </c>
      <c r="C13" s="142" t="str">
        <f>IF('1 Mi Ficha'!C6="","[Nombre de la organización]",'1 Mi Ficha'!C6)&amp;" es una "&amp;IF(Tipo="OSFL","organización sin fines de lucro","pequeña empresa")&amp;" dedicada a "&amp;IF('1 Mi Ficha'!C8="","[a qué nos dedicamos]",'1 Mi Ficha'!C8)&amp;" en "&amp;IF('1 Mi Ficha'!C10="","[municipio]",'1 Mi Ficha'!C10)&amp;". Nuestra misión: "&amp;IF('3 Propuesta y Filtro'!C15="","[misión]",'3 Propuesta y Filtro'!C15)&amp;"."</f>
        <v>[Nombre de la organización] es una pequeña empresa dedicada a [a qué nos dedicamos] en [municipio]. Nuestra misión: [misión].</v>
      </c>
      <c r="D13" s="113"/>
      <c r="E13" s="113"/>
      <c r="F13" s="113"/>
    </row>
    <row r="14" spans="2:6" ht="49.95" customHeight="1" x14ac:dyDescent="0.3">
      <c r="B14" s="16" t="s">
        <v>406</v>
      </c>
      <c r="C14" s="142" t="str">
        <f>"El problema: "&amp;IF('3 Propuesta y Filtro'!C6="","[quién]",'3 Propuesta y Filtro'!C6)&amp;" necesitan "&amp;IF('3 Propuesta y Filtro'!C7="","[resolver qué]",'3 Propuesta y Filtro'!C7)&amp;". "&amp;IF('4 Validación'!C28="","Lo confirmamos en entrevistas con [número] personas.","Lo confirmamos en entrevistas con "&amp;'4 Validación'!C28&amp;" personas.")</f>
        <v>El problema: [quién] necesitan [resolver qué]. Lo confirmamos en entrevistas con [número] personas.</v>
      </c>
      <c r="D14" s="113"/>
      <c r="E14" s="113"/>
      <c r="F14" s="113"/>
    </row>
    <row r="15" spans="2:6" ht="49.95" customHeight="1" x14ac:dyDescent="0.3">
      <c r="B15" s="16" t="s">
        <v>407</v>
      </c>
      <c r="C15" s="142" t="str">
        <f>"Nuestra solución: "&amp;IF('3 Propuesta y Filtro'!C8="","[tu solución]",'3 Propuesta y Filtro'!C8)&amp;", a diferencia de "&amp;IF('3 Propuesta y Filtro'!C9="","[la alternativa de hoy]",'3 Propuesta y Filtro'!C9)&amp;", porque "&amp;IF('3 Propuesta y Filtro'!C10="","[tu prueba]",'3 Propuesta y Filtro'!C10)&amp;"."</f>
        <v>Nuestra solución: [tu solución], a diferencia de [la alternativa de hoy], porque [tu prueba].</v>
      </c>
      <c r="D15" s="113"/>
      <c r="E15" s="113"/>
      <c r="F15" s="113"/>
    </row>
    <row r="16" spans="2:6" ht="49.95" customHeight="1" x14ac:dyDescent="0.3">
      <c r="B16" s="16" t="s">
        <v>408</v>
      </c>
      <c r="C16" s="142" t="str">
        <f>"Atendemos a "&amp;IF('2 Canvas'!J7="","[segmento de clientes o beneficiarios]",'2 Canvas'!J7)&amp;". "&amp;IF('4 Validación'!C21="","Probamos la idea con un piloto: [describe el MVP y su resultado].","Probamos la idea con un piloto ("&amp;'4 Validación'!C21&amp;")"&amp;IF(OR('4 Validación'!C29="",'4 Validación'!C24=""),".",": logramos "&amp;TEXT('4 Validación'!C29,"#,##0")&amp;" frente a una meta de "&amp;TEXT('4 Validación'!C24,"#,##0")&amp;"."))</f>
        <v>Atendemos a [segmento de clientes o beneficiarios]. Probamos la idea con un piloto: [describe el MVP y su resultado].</v>
      </c>
      <c r="D16" s="113"/>
      <c r="E16" s="113"/>
      <c r="F16" s="113"/>
    </row>
    <row r="17" spans="2:6" ht="49.95" customHeight="1" x14ac:dyDescent="0.3">
      <c r="B17" s="16" t="s">
        <v>409</v>
      </c>
      <c r="C17" s="142" t="str">
        <f>"Operación y equipo: nuestras actividades clave son "&amp;IF('2 Canvas'!D7="","[actividades clave]",'2 Canvas'!D7)&amp;"; contamos con "&amp;IF('2 Canvas'!D14="","[recursos clave]",'2 Canvas'!D14)&amp;" y con aliados como "&amp;IF('2 Canvas'!B7="","[aliados]",'2 Canvas'!B7)&amp;". Responsable: "&amp;IF('1 Mi Ficha'!C11="","[nombre]",'1 Mi Ficha'!C11)&amp;"."</f>
        <v>Operación y equipo: nuestras actividades clave son [actividades clave]; contamos con [recursos clave] y con aliados como [aliados]. Responsable: [nombre].</v>
      </c>
      <c r="D17" s="113"/>
      <c r="E17" s="113"/>
      <c r="F17" s="113"/>
    </row>
    <row r="18" spans="2:6" ht="49.95" customHeight="1" x14ac:dyDescent="0.3">
      <c r="B18" s="16" t="s">
        <v>410</v>
      </c>
      <c r="C18" s="142" t="str">
        <f>"Números: costos fijos de $"&amp;TEXT('6 Números'!C22,"#,##0")&amp;" al mes. "&amp;IF(LEFT('6 Números'!C5,8)="Completa","[Tu número clave: punto de equilibrio o costo por impacto.]",'6 Números'!C5)&amp;" En el escenario esperado, el resultado mensual es "&amp;TEXT('6 Números'!D83,"$#,##0;-$#,##0")&amp;"."</f>
        <v>Números: costos fijos de $0 al mes. [Tu número clave: punto de equilibrio o costo por impacto.] En el escenario esperado, el resultado mensual es $0.</v>
      </c>
      <c r="D18" s="113"/>
      <c r="E18" s="113"/>
      <c r="F18" s="113"/>
    </row>
    <row r="19" spans="2:6" ht="49.95" customHeight="1" x14ac:dyDescent="0.3">
      <c r="B19" s="16" t="s">
        <v>411</v>
      </c>
      <c r="C19" s="142" t="str">
        <f>IF(C6="Ninguno por ahora","Por ahora no solicitamos fondos externos: financiamos el plan con recursos propios.","Solicitud: "&amp;IF(C7="","[monto]","$"&amp;TEXT(C7,"#,##0"))&amp;IF(C6="","",IF(C6="Préstamo"," en préstamo",IF(C6="Donativo o propuesta"," en donativo o propuesta"," de inversión propia")))&amp;" para "&amp;IF(C8="","[uso de los fondos]",C8)&amp;". "&amp;IF(C9="","[Cómo se repaga o qué impacto garantiza.]",C9))</f>
        <v>Solicitud: [monto] para [uso de los fondos]. [Cómo se repaga o qué impacto garantiza.]</v>
      </c>
      <c r="D19" s="113"/>
      <c r="E19" s="113"/>
      <c r="F19" s="113"/>
    </row>
    <row r="20" spans="2:6" ht="49.95" customHeight="1" x14ac:dyDescent="0.3">
      <c r="B20" s="16" t="s">
        <v>412</v>
      </c>
      <c r="C20" s="142" t="str">
        <f>"Metas: en 90 días, "&amp;IF('9 Plan 90 Días'!C6="","[objetivo]",'9 Plan 90 Días'!C6)&amp;IF('9 Plan 90 Días'!C9="","",": "&amp;'9 Plan 90 Días'!C9&amp;IF('9 Plan 90 Días'!C10="","","; "&amp;'9 Plan 90 Días'!C10)&amp;IF('9 Plan 90 Días'!C11="","","; "&amp;'9 Plan 90 Días'!C11))&amp;". A tres años: "&amp;IF('3 Propuesta y Filtro'!C16="","[visión]",'3 Propuesta y Filtro'!C16)&amp;"."</f>
        <v>Metas: en 90 días, [objetivo]. A tres años: [visión].</v>
      </c>
      <c r="D20" s="113"/>
      <c r="E20" s="113"/>
      <c r="F20" s="113"/>
    </row>
    <row r="21" spans="2:6" x14ac:dyDescent="0.3">
      <c r="B21" s="107" t="s">
        <v>413</v>
      </c>
      <c r="C21" s="91"/>
      <c r="D21" s="91"/>
      <c r="E21" s="91"/>
      <c r="F21" s="91"/>
    </row>
    <row r="23" spans="2:6" ht="19.95" customHeight="1" x14ac:dyDescent="0.3">
      <c r="B23" s="132" t="s">
        <v>414</v>
      </c>
      <c r="C23" s="121"/>
      <c r="D23" s="121"/>
      <c r="E23" s="121"/>
      <c r="F23" s="121"/>
    </row>
    <row r="24" spans="2:6" ht="49.95" customHeight="1" x14ac:dyDescent="0.3">
      <c r="B24" s="16" t="s">
        <v>405</v>
      </c>
      <c r="C24" s="100"/>
      <c r="D24" s="100"/>
      <c r="E24" s="100"/>
      <c r="F24" s="100"/>
    </row>
    <row r="25" spans="2:6" ht="49.95" customHeight="1" x14ac:dyDescent="0.3">
      <c r="B25" s="16" t="s">
        <v>406</v>
      </c>
      <c r="C25" s="100"/>
      <c r="D25" s="100"/>
      <c r="E25" s="100"/>
      <c r="F25" s="100"/>
    </row>
    <row r="26" spans="2:6" ht="49.95" customHeight="1" x14ac:dyDescent="0.3">
      <c r="B26" s="16" t="s">
        <v>407</v>
      </c>
      <c r="C26" s="100"/>
      <c r="D26" s="100"/>
      <c r="E26" s="100"/>
      <c r="F26" s="100"/>
    </row>
    <row r="27" spans="2:6" ht="49.95" customHeight="1" x14ac:dyDescent="0.3">
      <c r="B27" s="16" t="s">
        <v>408</v>
      </c>
      <c r="C27" s="100"/>
      <c r="D27" s="100"/>
      <c r="E27" s="100"/>
      <c r="F27" s="100"/>
    </row>
    <row r="28" spans="2:6" ht="49.95" customHeight="1" x14ac:dyDescent="0.3">
      <c r="B28" s="16" t="s">
        <v>409</v>
      </c>
      <c r="C28" s="100"/>
      <c r="D28" s="100"/>
      <c r="E28" s="100"/>
      <c r="F28" s="100"/>
    </row>
    <row r="29" spans="2:6" ht="49.95" customHeight="1" x14ac:dyDescent="0.3">
      <c r="B29" s="16" t="s">
        <v>410</v>
      </c>
      <c r="C29" s="100"/>
      <c r="D29" s="100"/>
      <c r="E29" s="100"/>
      <c r="F29" s="100"/>
    </row>
    <row r="30" spans="2:6" ht="49.95" customHeight="1" x14ac:dyDescent="0.3">
      <c r="B30" s="16" t="s">
        <v>411</v>
      </c>
      <c r="C30" s="100"/>
      <c r="D30" s="100"/>
      <c r="E30" s="100"/>
      <c r="F30" s="100"/>
    </row>
    <row r="31" spans="2:6" ht="49.95" customHeight="1" x14ac:dyDescent="0.3">
      <c r="B31" s="16" t="s">
        <v>412</v>
      </c>
      <c r="C31" s="100"/>
      <c r="D31" s="100"/>
      <c r="E31" s="100"/>
      <c r="F31" s="100"/>
    </row>
    <row r="32" spans="2:6" x14ac:dyDescent="0.3">
      <c r="B32" s="16" t="s">
        <v>415</v>
      </c>
      <c r="C32" s="41">
        <f>IF(COUNTA(C24:C31)=0,0,SUMPRODUCT(LEN(TRIM(C24:C31))-LEN(SUBSTITUTE(TRIM(C24:C31)," ",""))+(LEN(TRIM(C24:C31))&gt;0)))</f>
        <v>0</v>
      </c>
      <c r="D32" s="107" t="s">
        <v>416</v>
      </c>
      <c r="E32" s="91"/>
      <c r="F32" s="91"/>
    </row>
    <row r="34" spans="2:6" ht="19.95" customHeight="1" x14ac:dyDescent="0.3">
      <c r="B34" s="106" t="s">
        <v>417</v>
      </c>
      <c r="C34" s="97"/>
      <c r="D34" s="97"/>
      <c r="E34" s="97"/>
      <c r="F34" s="97"/>
    </row>
    <row r="35" spans="2:6" x14ac:dyDescent="0.3">
      <c r="B35" s="70" t="s">
        <v>418</v>
      </c>
      <c r="C35" s="144" t="s">
        <v>419</v>
      </c>
      <c r="D35" s="145"/>
      <c r="E35" s="70" t="s">
        <v>420</v>
      </c>
      <c r="F35" s="3" t="s">
        <v>14</v>
      </c>
    </row>
    <row r="36" spans="2:6" ht="37.950000000000003" customHeight="1" x14ac:dyDescent="0.3">
      <c r="B36" s="7" t="str">
        <f>IF(Tipo="OSFL","1 · Resumen ejecutivo","1 · Resumen ejecutivo")</f>
        <v>1 · Resumen ejecutivo</v>
      </c>
      <c r="C36" s="143" t="s">
        <v>421</v>
      </c>
      <c r="D36" s="109"/>
      <c r="E36" s="7" t="s">
        <v>422</v>
      </c>
      <c r="F36" s="30"/>
    </row>
    <row r="37" spans="2:6" ht="37.950000000000003" customHeight="1" x14ac:dyDescent="0.3">
      <c r="B37" s="7" t="str">
        <f>IF(Tipo="OSFL","2 · Descripción de la organización (misión, junta, estatus legal)","2 · Descripción de la empresa")</f>
        <v>2 · Descripción de la empresa</v>
      </c>
      <c r="C37" s="143" t="s">
        <v>423</v>
      </c>
      <c r="D37" s="109"/>
      <c r="E37" s="7" t="s">
        <v>424</v>
      </c>
      <c r="F37" s="30"/>
    </row>
    <row r="38" spans="2:6" ht="37.950000000000003" customHeight="1" x14ac:dyDescent="0.3">
      <c r="B38" s="7" t="str">
        <f>IF(Tipo="OSFL","3 · Análisis de la necesidad y la población","3 · Análisis de mercado")</f>
        <v>3 · Análisis de mercado</v>
      </c>
      <c r="C38" s="143" t="s">
        <v>425</v>
      </c>
      <c r="D38" s="109"/>
      <c r="E38" s="7" t="s">
        <v>426</v>
      </c>
      <c r="F38" s="30"/>
    </row>
    <row r="39" spans="2:6" ht="37.950000000000003" customHeight="1" x14ac:dyDescent="0.3">
      <c r="B39" s="7" t="str">
        <f>IF(Tipo="OSFL","4 · Programas y teoría de cambio","4 · Productos o servicios")</f>
        <v>4 · Productos o servicios</v>
      </c>
      <c r="C39" s="143" t="s">
        <v>427</v>
      </c>
      <c r="D39" s="109"/>
      <c r="E39" s="7" t="s">
        <v>428</v>
      </c>
      <c r="F39" s="30"/>
    </row>
    <row r="40" spans="2:6" ht="37.950000000000003" customHeight="1" x14ac:dyDescent="0.3">
      <c r="B40" s="7" t="str">
        <f>IF(Tipo="OSFL","5 · Alcance comunitario y desarrollo de fondos","5 · Mercadeo y ventas")</f>
        <v>5 · Mercadeo y ventas</v>
      </c>
      <c r="C40" s="143" t="s">
        <v>429</v>
      </c>
      <c r="D40" s="109"/>
      <c r="E40" s="7" t="s">
        <v>430</v>
      </c>
      <c r="F40" s="30"/>
    </row>
    <row r="41" spans="2:6" ht="37.950000000000003" customHeight="1" x14ac:dyDescent="0.3">
      <c r="B41" s="7" t="str">
        <f>IF(Tipo="OSFL","6 · Operaciones, personal y gobernanza","6 · Operaciones y equipo")</f>
        <v>6 · Operaciones y equipo</v>
      </c>
      <c r="C41" s="143" t="s">
        <v>431</v>
      </c>
      <c r="D41" s="109"/>
      <c r="E41" s="7" t="s">
        <v>432</v>
      </c>
      <c r="F41" s="30"/>
    </row>
    <row r="42" spans="2:6" ht="37.950000000000003" customHeight="1" x14ac:dyDescent="0.3">
      <c r="B42" s="7" t="str">
        <f>IF(Tipo="OSFL","7 · Plan financiero: presupuesto, mezcla de fondos y sostenibilidad","7 · Plan financiero")</f>
        <v>7 · Plan financiero</v>
      </c>
      <c r="C42" s="143" t="s">
        <v>433</v>
      </c>
      <c r="D42" s="109"/>
      <c r="E42" s="7" t="s">
        <v>434</v>
      </c>
      <c r="F42" s="30"/>
    </row>
    <row r="43" spans="2:6" ht="37.950000000000003" customHeight="1" x14ac:dyDescent="0.3">
      <c r="B43" s="7" t="str">
        <f>IF(Tipo="OSFL","8 · Solicitud y anejos: exenciones, estados financieros, certificaciones","8 · Solicitud de fondos y anejos")</f>
        <v>8 · Solicitud de fondos y anejos</v>
      </c>
      <c r="C43" s="143" t="s">
        <v>435</v>
      </c>
      <c r="D43" s="109"/>
      <c r="E43" s="7" t="s">
        <v>436</v>
      </c>
      <c r="F43" s="30"/>
    </row>
    <row r="44" spans="2:6" x14ac:dyDescent="0.3">
      <c r="B44" s="16" t="s">
        <v>437</v>
      </c>
      <c r="C44" s="67" t="str">
        <f>COUNTIF(F36:F43,"Lo tengo")&amp;" de 8"</f>
        <v>0 de 8</v>
      </c>
    </row>
    <row r="45" spans="2:6" ht="30" customHeight="1" x14ac:dyDescent="0.3">
      <c r="B45" s="107" t="s">
        <v>438</v>
      </c>
      <c r="C45" s="91"/>
      <c r="D45" s="91"/>
      <c r="E45" s="91"/>
      <c r="F45" s="91"/>
    </row>
    <row r="46" spans="2:6" x14ac:dyDescent="0.3">
      <c r="B46" s="91"/>
      <c r="C46" s="91"/>
      <c r="D46" s="91"/>
      <c r="E46" s="91"/>
      <c r="F46" s="91"/>
    </row>
  </sheetData>
  <sheetProtection sheet="1" formatCells="0" formatColumns="0" formatRows="0"/>
  <mergeCells count="39">
    <mergeCell ref="B45:F46"/>
    <mergeCell ref="C24:F24"/>
    <mergeCell ref="C14:F14"/>
    <mergeCell ref="C43:D43"/>
    <mergeCell ref="B34:F34"/>
    <mergeCell ref="C20:F20"/>
    <mergeCell ref="C26:F26"/>
    <mergeCell ref="C29:F29"/>
    <mergeCell ref="C36:D36"/>
    <mergeCell ref="C16:F16"/>
    <mergeCell ref="C25:F25"/>
    <mergeCell ref="C39:D39"/>
    <mergeCell ref="C31:F31"/>
    <mergeCell ref="C38:D38"/>
    <mergeCell ref="C37:D37"/>
    <mergeCell ref="C27:F27"/>
    <mergeCell ref="B2:F2"/>
    <mergeCell ref="C41:D41"/>
    <mergeCell ref="C30:F30"/>
    <mergeCell ref="C15:F15"/>
    <mergeCell ref="B23:F23"/>
    <mergeCell ref="C40:D40"/>
    <mergeCell ref="B10:F10"/>
    <mergeCell ref="C9:F9"/>
    <mergeCell ref="B5:F5"/>
    <mergeCell ref="D6:F6"/>
    <mergeCell ref="C17:F17"/>
    <mergeCell ref="C8:F8"/>
    <mergeCell ref="D32:F32"/>
    <mergeCell ref="B3:F3"/>
    <mergeCell ref="C42:D42"/>
    <mergeCell ref="D7:F7"/>
    <mergeCell ref="C19:F19"/>
    <mergeCell ref="C28:F28"/>
    <mergeCell ref="C35:D35"/>
    <mergeCell ref="C13:F13"/>
    <mergeCell ref="B21:F21"/>
    <mergeCell ref="C18:F18"/>
    <mergeCell ref="B12:F12"/>
  </mergeCells>
  <conditionalFormatting sqref="F36:F43">
    <cfRule type="cellIs" dxfId="5" priority="1" operator="equal">
      <formula>"Lo tengo"</formula>
    </cfRule>
    <cfRule type="cellIs" dxfId="4" priority="2" operator="equal">
      <formula>"En proceso"</formula>
    </cfRule>
    <cfRule type="cellIs" dxfId="3" priority="3" operator="equal">
      <formula>"Me falta"</formula>
    </cfRule>
  </conditionalFormatting>
  <dataValidations count="2">
    <dataValidation type="list" allowBlank="1" errorTitle="Opción no válida" error="Escoge una opción de la lista." sqref="C6" xr:uid="{00000000-0002-0000-0B00-000000000000}">
      <formula1>"Préstamo,Donativo o propuesta,Inversión propia,Ninguno por ahora"</formula1>
    </dataValidation>
    <dataValidation type="list" allowBlank="1" errorTitle="Opción no válida" error="Escoge una opción de la lista." sqref="F36:F43" xr:uid="{00000000-0002-0000-0B00-000001000000}">
      <formula1>"Lo tengo,En proceso,Me falta"</formula1>
    </dataValidation>
  </dataValidations>
  <pageMargins left="0.4" right="0.4" top="0.5" bottom="0.5" header="0.5" footer="0.5"/>
  <pageSetup fitToHeight="0" orientation="portrait"/>
  <headerFooter>
    <oddFooter>&amp;C&amp;8 Mi Plan de Negocio Preliminar · Asesores Financieros Comunitarios, Inc. · Página &amp;P de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325F62"/>
    <pageSetUpPr fitToPage="1"/>
  </sheetPr>
  <dimension ref="B1:E95"/>
  <sheetViews>
    <sheetView showGridLines="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2" customWidth="1"/>
    <col min="2" max="2" width="74" customWidth="1"/>
    <col min="3" max="3" width="14" customWidth="1"/>
    <col min="4" max="4" width="44" customWidth="1"/>
    <col min="5" max="5" width="13" customWidth="1"/>
  </cols>
  <sheetData>
    <row r="1" spans="2:5" ht="7.95" customHeight="1" x14ac:dyDescent="0.3"/>
    <row r="2" spans="2:5" ht="30" customHeight="1" x14ac:dyDescent="0.3">
      <c r="B2" s="101" t="s">
        <v>439</v>
      </c>
      <c r="C2" s="97"/>
      <c r="D2" s="97"/>
      <c r="E2" s="97"/>
    </row>
    <row r="3" spans="2:5" ht="22.05" customHeight="1" x14ac:dyDescent="0.3">
      <c r="B3" s="104" t="s">
        <v>440</v>
      </c>
      <c r="C3" s="105"/>
      <c r="D3" s="105"/>
      <c r="E3" s="105"/>
    </row>
    <row r="5" spans="2:5" ht="30" customHeight="1" x14ac:dyDescent="0.3">
      <c r="B5" s="75" t="s">
        <v>441</v>
      </c>
      <c r="C5" s="67" t="str">
        <f>COUNTIF(C8:C120,"Lo tengo")&amp;" de 48"</f>
        <v>0 de 48</v>
      </c>
      <c r="D5" s="107" t="s">
        <v>442</v>
      </c>
      <c r="E5" s="91"/>
    </row>
    <row r="7" spans="2:5" ht="30" customHeight="1" x14ac:dyDescent="0.3">
      <c r="B7" s="76" t="str">
        <f>IF(Tipo="OSFL","2 · Descripción de la organización","2 · Descripción de la empresa")</f>
        <v>2 · Descripción de la empresa</v>
      </c>
      <c r="C7" s="22" t="str">
        <f>COUNTIF(C9:C14,"Lo tengo")&amp;" de 6"</f>
        <v>0 de 6</v>
      </c>
      <c r="D7" s="77" t="s">
        <v>443</v>
      </c>
      <c r="E7" s="78" t="s">
        <v>444</v>
      </c>
    </row>
    <row r="8" spans="2:5" ht="16.05" customHeight="1" x14ac:dyDescent="0.3">
      <c r="B8" s="79" t="s">
        <v>445</v>
      </c>
      <c r="C8" s="25" t="s">
        <v>14</v>
      </c>
      <c r="D8" s="25" t="s">
        <v>446</v>
      </c>
      <c r="E8" s="25" t="s">
        <v>155</v>
      </c>
    </row>
    <row r="9" spans="2:5" ht="30" customHeight="1" x14ac:dyDescent="0.3">
      <c r="B9" s="7" t="str">
        <f>IF(Tipo="OSFL","Nombre legal, fecha de incorporación como corporación sin fines de lucro y estatus de exención: 1101.01 y 501(c)(3), vigentes o en trámite","Nombre legal y comercial, estructura (DBA, LLC o corporación) y dueños con su porcentaje")</f>
        <v>Nombre legal y comercial, estructura (DBA, LLC o corporación) y dueños con su porcentaje</v>
      </c>
      <c r="C9" s="30"/>
      <c r="D9" s="17"/>
      <c r="E9" s="80"/>
    </row>
    <row r="10" spans="2:5" ht="30" customHeight="1" x14ac:dyDescent="0.3">
      <c r="B10" s="7" t="s">
        <v>447</v>
      </c>
      <c r="C10" s="30"/>
      <c r="D10" s="17"/>
      <c r="E10" s="80"/>
    </row>
    <row r="11" spans="2:5" ht="30" customHeight="1" x14ac:dyDescent="0.3">
      <c r="B11" s="7" t="str">
        <f>IF(Tipo="OSFL","Historia breve: cuándo empezó, a cuántas personas ha servido y en qué etapa está","Historia breve: cuándo empezó, qué se ha logrado y en qué etapa está")</f>
        <v>Historia breve: cuándo empezó, qué se ha logrado y en qué etapa está</v>
      </c>
      <c r="C11" s="30"/>
      <c r="D11" s="17"/>
      <c r="E11" s="80"/>
    </row>
    <row r="12" spans="2:5" ht="30" customHeight="1" x14ac:dyDescent="0.3">
      <c r="B12" s="7" t="str">
        <f>IF(Tipo="OSFL","Área de servicio: municipios o barrios que cubre, y por qué","Ubicación, local y horario, y por qué ahí")</f>
        <v>Ubicación, local y horario, y por qué ahí</v>
      </c>
      <c r="C12" s="30"/>
      <c r="D12" s="17"/>
      <c r="E12" s="80"/>
    </row>
    <row r="13" spans="2:5" ht="30" customHeight="1" x14ac:dyDescent="0.3">
      <c r="B13" s="7" t="str">
        <f>IF(Tipo="OSFL","Junta de directores: número de miembros, roles, frecuencia de reuniones y reglamento (bylaws)","Registro de Comerciante, patente municipal y permisos vigentes o en trámite")</f>
        <v>Registro de Comerciante, patente municipal y permisos vigentes o en trámite</v>
      </c>
      <c r="C13" s="30"/>
      <c r="D13" s="17"/>
      <c r="E13" s="80"/>
    </row>
    <row r="14" spans="2:5" ht="30" customHeight="1" x14ac:dyDescent="0.3">
      <c r="B14" s="7" t="str">
        <f>IF(Tipo="OSFL","Equipo: personal, voluntarios y quién dirige (el detalle va en la sección 6)","Equipo fundador: quiénes son y qué saben hacer (el detalle va en la sección 6)")</f>
        <v>Equipo fundador: quiénes son y qué saben hacer (el detalle va en la sección 6)</v>
      </c>
      <c r="C14" s="30"/>
      <c r="D14" s="17"/>
      <c r="E14" s="80"/>
    </row>
    <row r="15" spans="2:5" ht="40.049999999999997" customHeight="1" x14ac:dyDescent="0.3">
      <c r="B15" s="146" t="s">
        <v>448</v>
      </c>
      <c r="C15" s="115"/>
      <c r="D15" s="115"/>
      <c r="E15" s="115"/>
    </row>
    <row r="16" spans="2:5" ht="28.05" customHeight="1" x14ac:dyDescent="0.3">
      <c r="B16" s="94" t="s">
        <v>449</v>
      </c>
      <c r="C16" s="91"/>
      <c r="D16" s="91"/>
      <c r="E16" s="91"/>
    </row>
    <row r="17" spans="2:5" ht="7.95" customHeight="1" x14ac:dyDescent="0.3"/>
    <row r="18" spans="2:5" ht="30" customHeight="1" x14ac:dyDescent="0.3">
      <c r="B18" s="76" t="str">
        <f>IF(Tipo="OSFL","4 · Programas y teoría de cambio","4 · Productos o servicios")</f>
        <v>4 · Productos o servicios</v>
      </c>
      <c r="C18" s="22" t="str">
        <f>COUNTIF(C20:C25,"Lo tengo")&amp;" de 6"</f>
        <v>0 de 6</v>
      </c>
      <c r="D18" s="77" t="s">
        <v>450</v>
      </c>
      <c r="E18" s="78" t="s">
        <v>444</v>
      </c>
    </row>
    <row r="19" spans="2:5" ht="16.05" customHeight="1" x14ac:dyDescent="0.3">
      <c r="B19" s="79" t="s">
        <v>445</v>
      </c>
      <c r="C19" s="25" t="s">
        <v>14</v>
      </c>
      <c r="D19" s="25" t="s">
        <v>446</v>
      </c>
      <c r="E19" s="25" t="s">
        <v>155</v>
      </c>
    </row>
    <row r="20" spans="2:5" ht="30" customHeight="1" x14ac:dyDescent="0.3">
      <c r="B20" s="7" t="s">
        <v>451</v>
      </c>
      <c r="C20" s="30"/>
      <c r="D20" s="17"/>
      <c r="E20" s="80"/>
    </row>
    <row r="21" spans="2:5" ht="30" customHeight="1" x14ac:dyDescent="0.3">
      <c r="B21" s="7" t="str">
        <f>IF(Tipo="OSFL","Lista de programas: qué entrega cada uno, a quién, con qué frecuencia y a qué costo por unidad (pestaña 6)","Lista de productos o servicios con precio y margen de cada uno (pestaña 6)")</f>
        <v>Lista de productos o servicios con precio y margen de cada uno (pestaña 6)</v>
      </c>
      <c r="C21" s="30"/>
      <c r="D21" s="17"/>
      <c r="E21" s="80"/>
    </row>
    <row r="22" spans="2:5" ht="30" customHeight="1" x14ac:dyDescent="0.3">
      <c r="B22" s="7" t="str">
        <f>IF(Tipo="OSFL","Teoría de cambio en una tabla: actividades, productos, resultados e impacto","Qué lo hace distinto: comparación con las alternativas (calidad, tiempo, precio, cercanía)")</f>
        <v>Qué lo hace distinto: comparación con las alternativas (calidad, tiempo, precio, cercanía)</v>
      </c>
      <c r="C22" s="30"/>
      <c r="D22" s="17"/>
      <c r="E22" s="80"/>
    </row>
    <row r="23" spans="2:5" ht="30" customHeight="1" x14ac:dyDescent="0.3">
      <c r="B23" s="7" t="str">
        <f>IF(Tipo="OSFL","Etapa del programa: diseño, piloto o en operación, con los resultados del piloto","Etapa del producto: idea, piloto (MVP) o en venta, con los resultados del piloto")</f>
        <v>Etapa del producto: idea, piloto (MVP) o en venta, con los resultados del piloto</v>
      </c>
      <c r="C23" s="30"/>
      <c r="D23" s="17"/>
      <c r="E23" s="80"/>
    </row>
    <row r="24" spans="2:5" ht="30" customHeight="1" x14ac:dyDescent="0.3">
      <c r="B24" s="7" t="str">
        <f>IF(Tipo="OSFL","Indicadores: cuántos servidos, qué cambió y cómo lo mides (bloque 10 del Canvas)","Proveedores e insumos clave, y qué pasa si falla uno")</f>
        <v>Proveedores e insumos clave, y qué pasa si falla uno</v>
      </c>
      <c r="C24" s="30"/>
      <c r="D24" s="17"/>
      <c r="E24" s="80"/>
    </row>
    <row r="25" spans="2:5" ht="30" customHeight="1" x14ac:dyDescent="0.3">
      <c r="B25" s="7" t="str">
        <f>IF(Tipo="OSFL","Estándares y licencias del servicio (por ejemplo, manejo de alimentos o certificación del personal)","Protección: marca registrada, recetas, contratos (si aplica)")</f>
        <v>Protección: marca registrada, recetas, contratos (si aplica)</v>
      </c>
      <c r="C25" s="30"/>
      <c r="D25" s="17"/>
      <c r="E25" s="80"/>
    </row>
    <row r="26" spans="2:5" ht="40.049999999999997" customHeight="1" x14ac:dyDescent="0.3">
      <c r="B26" s="146" t="s">
        <v>452</v>
      </c>
      <c r="C26" s="115"/>
      <c r="D26" s="115"/>
      <c r="E26" s="115"/>
    </row>
    <row r="27" spans="2:5" ht="28.05" customHeight="1" x14ac:dyDescent="0.3">
      <c r="B27" s="94" t="s">
        <v>453</v>
      </c>
      <c r="C27" s="91"/>
      <c r="D27" s="91"/>
      <c r="E27" s="91"/>
    </row>
    <row r="28" spans="2:5" ht="7.95" customHeight="1" x14ac:dyDescent="0.3"/>
    <row r="29" spans="2:5" ht="30" customHeight="1" x14ac:dyDescent="0.3">
      <c r="B29" s="81" t="str">
        <f>IF(Tipo="OSFL","3 · Análisis de la necesidad y la población","3 · Análisis de mercado")</f>
        <v>3 · Análisis de mercado</v>
      </c>
      <c r="C29" s="21" t="str">
        <f>COUNTIF(C31:C36,"Lo tengo")&amp;" de 6"</f>
        <v>0 de 6</v>
      </c>
      <c r="D29" s="82" t="s">
        <v>454</v>
      </c>
      <c r="E29" s="83" t="s">
        <v>455</v>
      </c>
    </row>
    <row r="30" spans="2:5" ht="16.05" customHeight="1" x14ac:dyDescent="0.3">
      <c r="B30" s="79" t="s">
        <v>445</v>
      </c>
      <c r="C30" s="25" t="s">
        <v>14</v>
      </c>
      <c r="D30" s="25" t="s">
        <v>446</v>
      </c>
      <c r="E30" s="25" t="s">
        <v>155</v>
      </c>
    </row>
    <row r="31" spans="2:5" ht="30" customHeight="1" x14ac:dyDescent="0.3">
      <c r="B31" s="7" t="str">
        <f>IF(Tipo="OSFL","Población servida: quién, dónde y cuántos; criterios para participar","Cliente objetivo: quién es, dónde está y cuántos son (segmentos del Canvas)")</f>
        <v>Cliente objetivo: quién es, dónde está y cuántos son (segmentos del Canvas)</v>
      </c>
      <c r="C31" s="30"/>
      <c r="D31" s="17"/>
      <c r="E31" s="80"/>
    </row>
    <row r="32" spans="2:5" ht="30" customHeight="1" x14ac:dyDescent="0.3">
      <c r="B32" s="7" t="str">
        <f>IF(Tipo="OSFL","Tamaño de la necesidad: cuántas personas la tienen en tu área y cuántas quedan sin atender","Tamaño del mercado en tu área: clientes posibles por gasto estimado al año")</f>
        <v>Tamaño del mercado en tu área: clientes posibles por gasto estimado al año</v>
      </c>
      <c r="C32" s="30"/>
      <c r="D32" s="17"/>
      <c r="E32" s="80"/>
    </row>
    <row r="33" spans="2:5" ht="30" customHeight="1" x14ac:dyDescent="0.3">
      <c r="B33" s="7" t="str">
        <f>IF(Tipo="OSFL","Tendencias: qué está cambiando (envejecimiento, migración, fondos, política pública)","Tendencias: qué está cambiando (población, precios, hábitos, reglas)")</f>
        <v>Tendencias: qué está cambiando (población, precios, hábitos, reglas)</v>
      </c>
      <c r="C33" s="30"/>
      <c r="D33" s="17"/>
      <c r="E33" s="80"/>
    </row>
    <row r="34" spans="2:5" ht="30" customHeight="1" x14ac:dyDescent="0.3">
      <c r="B34" s="7" t="str">
        <f>IF(Tipo="OSFL","Quién más atiende la necesidad: agencias y OSFL, qué cubren y dónde quedan huecos, en una tabla","Competencia: quiénes son, qué cobran y en qué fallan, en una tabla comparativa")</f>
        <v>Competencia: quiénes son, qué cobran y en qué fallan, en una tabla comparativa</v>
      </c>
      <c r="C34" s="30"/>
      <c r="D34" s="17"/>
      <c r="E34" s="80"/>
    </row>
    <row r="35" spans="2:5" ht="30" customHeight="1" x14ac:dyDescent="0.3">
      <c r="B35" s="7" t="str">
        <f>IF(Tipo="OSFL","Evidencia propia: entrevistas, lista de espera y datos del piloto","Evidencia propia: resultados de las 15 a 20 entrevistas y del MVP")</f>
        <v>Evidencia propia: resultados de las 15 a 20 entrevistas y del MVP</v>
      </c>
      <c r="C35" s="30"/>
      <c r="D35" s="17"/>
      <c r="E35" s="80"/>
    </row>
    <row r="36" spans="2:5" ht="30" customHeight="1" x14ac:dyDescent="0.3">
      <c r="B36" s="7" t="str">
        <f>IF(Tipo="OSFL","Tu posición: por qué tu organización es la indicada (alianzas, acceso, confianza)","Tu ventaja: por qué te van a escoger (filtro del Ejercicio 2)")</f>
        <v>Tu ventaja: por qué te van a escoger (filtro del Ejercicio 2)</v>
      </c>
      <c r="C36" s="30"/>
      <c r="D36" s="17"/>
      <c r="E36" s="80"/>
    </row>
    <row r="37" spans="2:5" ht="52.05" customHeight="1" x14ac:dyDescent="0.3">
      <c r="B37" s="146" t="s">
        <v>456</v>
      </c>
      <c r="C37" s="115"/>
      <c r="D37" s="115"/>
      <c r="E37" s="115"/>
    </row>
    <row r="38" spans="2:5" ht="28.05" customHeight="1" x14ac:dyDescent="0.3">
      <c r="B38" s="94" t="s">
        <v>457</v>
      </c>
      <c r="C38" s="91"/>
      <c r="D38" s="91"/>
      <c r="E38" s="91"/>
    </row>
    <row r="39" spans="2:5" ht="7.95" customHeight="1" x14ac:dyDescent="0.3"/>
    <row r="40" spans="2:5" ht="30" customHeight="1" x14ac:dyDescent="0.3">
      <c r="B40" s="84" t="str">
        <f>IF(Tipo="OSFL","5 · Alcance comunitario y desarrollo de fondos","5 · Mercadeo y ventas")</f>
        <v>5 · Mercadeo y ventas</v>
      </c>
      <c r="C40" s="24" t="str">
        <f>COUNTIF(C42:C47,"Lo tengo")&amp;" de 6"</f>
        <v>0 de 6</v>
      </c>
      <c r="D40" s="85" t="s">
        <v>458</v>
      </c>
      <c r="E40" s="86" t="s">
        <v>459</v>
      </c>
    </row>
    <row r="41" spans="2:5" ht="16.05" customHeight="1" x14ac:dyDescent="0.3">
      <c r="B41" s="79" t="s">
        <v>445</v>
      </c>
      <c r="C41" s="25" t="s">
        <v>14</v>
      </c>
      <c r="D41" s="25" t="s">
        <v>446</v>
      </c>
      <c r="E41" s="25" t="s">
        <v>155</v>
      </c>
    </row>
    <row r="42" spans="2:5" ht="30" customHeight="1" x14ac:dyDescent="0.3">
      <c r="B42" s="7" t="str">
        <f>IF(Tipo="OSFL","Caso de apoyo: por qué donar o financiar, en una página","Mensaje central (tu propuesta) y a quién va dirigido")</f>
        <v>Mensaje central (tu propuesta) y a quién va dirigido</v>
      </c>
      <c r="C42" s="30"/>
      <c r="D42" s="17"/>
      <c r="E42" s="80"/>
    </row>
    <row r="43" spans="2:5" ht="30" customHeight="1" x14ac:dyDescent="0.3">
      <c r="B43" s="7" t="str">
        <f>IF(Tipo="OSFL","Canales para llegar a beneficiarios (referidos, iglesias, agencias) y a quienes financian (visitas, propuestas, redes)","Canales por los que llegas y vendes (bloque 3 del Canvas): visitas, WhatsApp, ferias, redes, punto de venta")</f>
        <v>Canales por los que llegas y vendes (bloque 3 del Canvas): visitas, WhatsApp, ferias, redes, punto de venta</v>
      </c>
      <c r="C43" s="30"/>
      <c r="D43" s="17"/>
      <c r="E43" s="80"/>
    </row>
    <row r="44" spans="2:5" ht="30" customHeight="1" x14ac:dyDescent="0.3">
      <c r="B44" s="7" t="str">
        <f>IF(Tipo="OSFL","Mezcla de fondos meta: donativos individuales, propuestas, servicios, eventos y gobierno, con el porcentaje de cada una","Precios y política de cobro: contado, crédito y términos a clientes comerciales")</f>
        <v>Precios y política de cobro: contado, crédito y términos a clientes comerciales</v>
      </c>
      <c r="C44" s="30"/>
      <c r="D44" s="17"/>
      <c r="E44" s="80"/>
    </row>
    <row r="45" spans="2:5" ht="30" customHeight="1" x14ac:dyDescent="0.3">
      <c r="B45" s="7" t="str">
        <f>IF(Tipo="OSFL","Calendario de fondos: convocatorias, GivingTuesday, campaña de fin de año y eventos (página 12)","Calendario de temporada: Black Friday a Reyes, Día de las Madres, verano (página 12)")</f>
        <v>Calendario de temporada: Black Friday a Reyes, Día de las Madres, verano (página 12)</v>
      </c>
      <c r="C45" s="30"/>
      <c r="D45" s="17"/>
      <c r="E45" s="80"/>
    </row>
    <row r="46" spans="2:5" ht="30" customHeight="1" x14ac:dyDescent="0.3">
      <c r="B46" s="7" t="str">
        <f>IF(Tipo="OSFL","Metas: donantes nuevos, retención, propuestas sometidas y aprobadas","Metas por canal: clientes nuevos al mes, compra promedio y repetición")</f>
        <v>Metas por canal: clientes nuevos al mes, compra promedio y repetición</v>
      </c>
      <c r="C46" s="30"/>
      <c r="D46" s="17"/>
      <c r="E46" s="80"/>
    </row>
    <row r="47" spans="2:5" ht="30" customHeight="1" x14ac:dyDescent="0.3">
      <c r="B47" s="7" t="str">
        <f>IF(Tipo="OSFL","Presupuesto de desarrollo de fondos y qué mides (costo por dólar recaudado)","Presupuesto de mercadeo y qué mides (costo por cliente nuevo)")</f>
        <v>Presupuesto de mercadeo y qué mides (costo por cliente nuevo)</v>
      </c>
      <c r="C47" s="30"/>
      <c r="D47" s="17"/>
      <c r="E47" s="80"/>
    </row>
    <row r="48" spans="2:5" ht="40.049999999999997" customHeight="1" x14ac:dyDescent="0.3">
      <c r="B48" s="146" t="s">
        <v>460</v>
      </c>
      <c r="C48" s="115"/>
      <c r="D48" s="115"/>
      <c r="E48" s="115"/>
    </row>
    <row r="49" spans="2:5" ht="28.05" customHeight="1" x14ac:dyDescent="0.3">
      <c r="B49" s="94" t="s">
        <v>461</v>
      </c>
      <c r="C49" s="91"/>
      <c r="D49" s="91"/>
      <c r="E49" s="91"/>
    </row>
    <row r="50" spans="2:5" ht="7.95" customHeight="1" x14ac:dyDescent="0.3"/>
    <row r="51" spans="2:5" ht="30" customHeight="1" x14ac:dyDescent="0.3">
      <c r="B51" s="84" t="str">
        <f>IF(Tipo="OSFL","6 · Operaciones, personal y gobernanza","6 · Operaciones y equipo")</f>
        <v>6 · Operaciones y equipo</v>
      </c>
      <c r="C51" s="24" t="str">
        <f>COUNTIF(C53:C58,"Lo tengo")&amp;" de 6"</f>
        <v>0 de 6</v>
      </c>
      <c r="D51" s="85" t="s">
        <v>462</v>
      </c>
      <c r="E51" s="86" t="s">
        <v>459</v>
      </c>
    </row>
    <row r="52" spans="2:5" ht="16.05" customHeight="1" x14ac:dyDescent="0.3">
      <c r="B52" s="79" t="s">
        <v>445</v>
      </c>
      <c r="C52" s="25" t="s">
        <v>14</v>
      </c>
      <c r="D52" s="25" t="s">
        <v>446</v>
      </c>
      <c r="E52" s="25" t="s">
        <v>155</v>
      </c>
    </row>
    <row r="53" spans="2:5" ht="30" customHeight="1" x14ac:dyDescent="0.3">
      <c r="B53" s="7" t="str">
        <f>IF(Tipo="OSFL","Proceso clave paso a paso: de la referida o inscripción al servicio y el seguimiento","Proceso clave paso a paso: de la compra o producción a la entrega y el cobro")</f>
        <v>Proceso clave paso a paso: de la compra o producción a la entrega y el cobro</v>
      </c>
      <c r="C53" s="30"/>
      <c r="D53" s="17"/>
      <c r="E53" s="80"/>
    </row>
    <row r="54" spans="2:5" ht="30" customHeight="1" x14ac:dyDescent="0.3">
      <c r="B54" s="7" t="str">
        <f>IF(Tipo="OSFL","Local, equipo y proveedores; capacidad máxima (a cuántas personas puedes atender al mes)","Local, equipo y proveedores; capacidad máxima (cuánto puedes producir o atender al mes)")</f>
        <v>Local, equipo y proveedores; capacidad máxima (cuánto puedes producir o atender al mes)</v>
      </c>
      <c r="C54" s="30"/>
      <c r="D54" s="17"/>
      <c r="E54" s="80"/>
    </row>
    <row r="55" spans="2:5" ht="30" customHeight="1" x14ac:dyDescent="0.3">
      <c r="B55" s="7" t="str">
        <f>IF(Tipo="OSFL","Cumplimiento: la lista de la pestaña 5 (Estado, Hacienda, informe anual, 990, licencias del servicio)","Permisos y cumplimiento: la lista de la pestaña 5 con fechas (Hacienda, CRIM, municipio, CFSE, OGPe)")</f>
        <v>Permisos y cumplimiento: la lista de la pestaña 5 con fechas (Hacienda, CRIM, municipio, CFSE, OGPe)</v>
      </c>
      <c r="C55" s="30"/>
      <c r="D55" s="17"/>
      <c r="E55" s="80"/>
    </row>
    <row r="56" spans="2:5" ht="30" customHeight="1" x14ac:dyDescent="0.3">
      <c r="B56" s="7" t="str">
        <f>IF(Tipo="OSFL","Organigrama: personal, voluntarios y junta; descripción de puestos y costo real de la nómina","Organigrama y puestos: quién hace qué (RACI) y el costo real de la nómina ($1.11 por cada $1 de salario)")</f>
        <v>Organigrama y puestos: quién hace qué (RACI) y el costo real de la nómina ($1.11 por cada $1 de salario)</v>
      </c>
      <c r="C56" s="30"/>
      <c r="D56" s="17"/>
      <c r="E56" s="80"/>
    </row>
    <row r="57" spans="2:5" ht="30" customHeight="1" x14ac:dyDescent="0.3">
      <c r="B57" s="7" t="str">
        <f>IF(Tipo="OSFL","Gobernanza: comités de la junta, política de conflicto de intereses y controles financieros (dos firmas, conciliaciones)","Qué falta en el equipo y cómo lo cubres: contratar, asesor, CPA, abogado")</f>
        <v>Qué falta en el equipo y cómo lo cubres: contratar, asesor, CPA, abogado</v>
      </c>
      <c r="C57" s="30"/>
      <c r="D57" s="17"/>
      <c r="E57" s="80"/>
    </row>
    <row r="58" spans="2:5" ht="30" customHeight="1" x14ac:dyDescent="0.3">
      <c r="B58" s="7" t="str">
        <f>IF(Tipo="OSFL","Plan de continuidad y protección de participantes: huracán, apagón, datos personales (página 10)","Plan de continuidad: huracán, apagón, pérdida de datos (página 10)")</f>
        <v>Plan de continuidad: huracán, apagón, pérdida de datos (página 10)</v>
      </c>
      <c r="C58" s="30"/>
      <c r="D58" s="17"/>
      <c r="E58" s="80"/>
    </row>
    <row r="59" spans="2:5" ht="40.049999999999997" customHeight="1" x14ac:dyDescent="0.3">
      <c r="B59" s="146" t="s">
        <v>463</v>
      </c>
      <c r="C59" s="115"/>
      <c r="D59" s="115"/>
      <c r="E59" s="115"/>
    </row>
    <row r="60" spans="2:5" ht="28.05" customHeight="1" x14ac:dyDescent="0.3">
      <c r="B60" s="94" t="s">
        <v>464</v>
      </c>
      <c r="C60" s="91"/>
      <c r="D60" s="91"/>
      <c r="E60" s="91"/>
    </row>
    <row r="61" spans="2:5" ht="7.95" customHeight="1" x14ac:dyDescent="0.3"/>
    <row r="62" spans="2:5" ht="30" customHeight="1" x14ac:dyDescent="0.3">
      <c r="B62" s="84" t="str">
        <f>IF(Tipo="OSFL","7 · Plan financiero: presupuesto, mezcla de fondos y sostenibilidad","7 · Plan financiero")</f>
        <v>7 · Plan financiero</v>
      </c>
      <c r="C62" s="24" t="str">
        <f>COUNTIF(C64:C69,"Lo tengo")&amp;" de 6"</f>
        <v>0 de 6</v>
      </c>
      <c r="D62" s="85" t="s">
        <v>465</v>
      </c>
      <c r="E62" s="86" t="s">
        <v>459</v>
      </c>
    </row>
    <row r="63" spans="2:5" ht="16.05" customHeight="1" x14ac:dyDescent="0.3">
      <c r="B63" s="79" t="s">
        <v>445</v>
      </c>
      <c r="C63" s="25" t="s">
        <v>14</v>
      </c>
      <c r="D63" s="25" t="s">
        <v>446</v>
      </c>
      <c r="E63" s="25" t="s">
        <v>155</v>
      </c>
    </row>
    <row r="64" spans="2:5" ht="30" customHeight="1" x14ac:dyDescent="0.3">
      <c r="B64" s="7" t="str">
        <f>IF(Tipo="OSFL","Supuestos escritos: unidades de impacto al mes, costo por unidad, costos fijos, fondos comprometidos y probables (pestaña 6)","Supuestos escritos: precio, unidades al mes, costo variable, costos fijos y cuándo cobras (pestaña 6)")</f>
        <v>Supuestos escritos: precio, unidades al mes, costo variable, costos fijos y cuándo cobras (pestaña 6)</v>
      </c>
      <c r="C64" s="30"/>
      <c r="D64" s="17"/>
      <c r="E64" s="80"/>
    </row>
    <row r="65" spans="2:5" ht="30" customHeight="1" x14ac:dyDescent="0.3">
      <c r="B65" s="7" t="str">
        <f>IF(Tipo="OSFL","Flujo de caja mensual de 12 meses (pestaña 7): cuándo entran los fondos y cuándo salen los gastos","Flujo de caja mensual de 12 meses (pestaña 7) y cuál es el mes más apretado")</f>
        <v>Flujo de caja mensual de 12 meses (pestaña 7) y cuál es el mes más apretado</v>
      </c>
      <c r="C65" s="30"/>
      <c r="D65" s="17"/>
      <c r="E65" s="80"/>
    </row>
    <row r="66" spans="2:5" ht="30" customHeight="1" x14ac:dyDescent="0.3">
      <c r="B66" s="7" t="str">
        <f>IF(Tipo="OSFL","Presupuesto a 3 años por programa y administración, con la mezcla de fondos de cada año","Estado de resultados proyectado a 3 años, con el pago del dueño incluido")</f>
        <v>Estado de resultados proyectado a 3 años, con el pago del dueño incluido</v>
      </c>
      <c r="C66" s="30"/>
      <c r="D66" s="17"/>
      <c r="E66" s="80"/>
    </row>
    <row r="67" spans="2:5" ht="30" customHeight="1" x14ac:dyDescent="0.3">
      <c r="B67" s="7" t="str">
        <f>IF(Tipo="OSFL","Costo por impacto y tres escenarios: conservador, esperado y optimista (página 11)","Punto de equilibrio en unidades y en dólares; tres escenarios (página 11)")</f>
        <v>Punto de equilibrio en unidades y en dólares; tres escenarios (página 11)</v>
      </c>
      <c r="C67" s="30"/>
      <c r="D67" s="17"/>
      <c r="E67" s="80"/>
    </row>
    <row r="68" spans="2:5" ht="30" customHeight="1" x14ac:dyDescent="0.3">
      <c r="B68" s="7" t="str">
        <f>IF(Tipo="OSFL","Reserva operativa meta (3 a 6 meses de gastos) y plan de sostenibilidad cuando termine el fondo","Uso de los fondos solicitados y cómo se repagan: el pago mensual cabe en la ganancia")</f>
        <v>Uso de los fondos solicitados y cómo se repagan: el pago mensual cabe en la ganancia</v>
      </c>
      <c r="C68" s="30"/>
      <c r="D68" s="17"/>
      <c r="E68" s="80"/>
    </row>
    <row r="69" spans="2:5" ht="30" customHeight="1" x14ac:dyDescent="0.3">
      <c r="B69" s="7" t="str">
        <f>IF(Tipo="OSFL","Si ya operas: estados financieros, 990 y auditoría si el financiador la exige; fondos restringidos y no restringidos por separado","Si ya operas: estados financieros y planillas de 2 a 3 años")</f>
        <v>Si ya operas: estados financieros y planillas de 2 a 3 años</v>
      </c>
      <c r="C69" s="30"/>
      <c r="D69" s="17"/>
      <c r="E69" s="80"/>
    </row>
    <row r="70" spans="2:5" ht="40.049999999999997" customHeight="1" x14ac:dyDescent="0.3">
      <c r="B70" s="146" t="s">
        <v>466</v>
      </c>
      <c r="C70" s="115"/>
      <c r="D70" s="115"/>
      <c r="E70" s="115"/>
    </row>
    <row r="71" spans="2:5" ht="28.05" customHeight="1" x14ac:dyDescent="0.3">
      <c r="B71" s="94" t="s">
        <v>467</v>
      </c>
      <c r="C71" s="91"/>
      <c r="D71" s="91"/>
      <c r="E71" s="91"/>
    </row>
    <row r="72" spans="2:5" ht="7.95" customHeight="1" x14ac:dyDescent="0.3"/>
    <row r="73" spans="2:5" ht="30" customHeight="1" x14ac:dyDescent="0.3">
      <c r="B73" s="87" t="str">
        <f>IF(Tipo="OSFL","8 · Solicitud y anejos: exenciones, estados financieros y certificaciones","8 · Solicitud de fondos y anejos")</f>
        <v>8 · Solicitud de fondos y anejos</v>
      </c>
      <c r="C73" s="23" t="str">
        <f>COUNTIF(C75:C80,"Lo tengo")&amp;" de 6"</f>
        <v>0 de 6</v>
      </c>
      <c r="D73" s="88" t="s">
        <v>468</v>
      </c>
      <c r="E73" s="89" t="s">
        <v>469</v>
      </c>
    </row>
    <row r="74" spans="2:5" ht="16.05" customHeight="1" x14ac:dyDescent="0.3">
      <c r="B74" s="79" t="s">
        <v>445</v>
      </c>
      <c r="C74" s="25" t="s">
        <v>14</v>
      </c>
      <c r="D74" s="25" t="s">
        <v>446</v>
      </c>
      <c r="E74" s="25" t="s">
        <v>155</v>
      </c>
    </row>
    <row r="75" spans="2:5" ht="30" customHeight="1" x14ac:dyDescent="0.3">
      <c r="B75" s="7" t="str">
        <f>IF(Tipo="OSFL","Monto exacto y tipo: subvención, contrato de servicios, donativo o préstamo","Monto exacto y tipo: préstamo, línea de crédito, inversión o subvención")</f>
        <v>Monto exacto y tipo: préstamo, línea de crédito, inversión o subvención</v>
      </c>
      <c r="C75" s="30"/>
      <c r="D75" s="17"/>
      <c r="E75" s="80"/>
    </row>
    <row r="76" spans="2:5" ht="30" customHeight="1" x14ac:dyDescent="0.3">
      <c r="B76" s="7" t="str">
        <f>IF(Tipo="OSFL","Presupuesto de la propuesta desglosado en el formato del financiador: personal, materiales, equipo, administración","Uso de fondos desglosado con cotizaciones: equipo, inventario, local, capital de trabajo")</f>
        <v>Uso de fondos desglosado con cotizaciones: equipo, inventario, local, capital de trabajo</v>
      </c>
      <c r="C76" s="30"/>
      <c r="D76" s="17"/>
      <c r="E76" s="80"/>
    </row>
    <row r="77" spans="2:5" ht="30" customHeight="1" x14ac:dyDescent="0.3">
      <c r="B77" s="7" t="str">
        <f>IF(Tipo="OSFL","Aportación propia o en especie (voluntarios, local cedido) y otros fondos comprometidos","Aportación propia y garantías (colateral, fiador) si es un préstamo")</f>
        <v>Aportación propia y garantías (colateral, fiador) si es un préstamo</v>
      </c>
      <c r="C77" s="30"/>
      <c r="D77" s="17"/>
      <c r="E77" s="80"/>
    </row>
    <row r="78" spans="2:5" ht="30" customHeight="1" x14ac:dyDescent="0.3">
      <c r="B78" s="7" t="str">
        <f>IF(Tipo="OSFL","Qué impacto compra el dinero (unidades, personas) y cómo sigue el programa cuando termine el fondo","Cómo se repaga: pago mensual frente al flujo de caja, y el plazo")</f>
        <v>Cómo se repaga: pago mensual frente al flujo de caja, y el plazo</v>
      </c>
      <c r="C78" s="30"/>
      <c r="D78" s="17"/>
      <c r="E78" s="80"/>
    </row>
    <row r="79" spans="2:5" ht="30" customHeight="1" x14ac:dyDescent="0.3">
      <c r="B79" s="7" t="str">
        <f>IF(Tipo="OSFL","Anejos: carta 1101.01 y 501(c)(3), certificado de incorporación y reglamento, lista de la junta, estados financieros y 990, informe anual, cartas de apoyo, certificaciones vigentes, UEI de SAM.gov","Anejos: estados financieros y planillas (2 a 3 años), certificaciones vigentes, permisos, currículos, cartas de intención de clientes, cotizaciones, fotos")</f>
        <v>Anejos: estados financieros y planillas (2 a 3 años), certificaciones vigentes, permisos, currículos, cartas de intención de clientes, cotizaciones, fotos</v>
      </c>
      <c r="C79" s="30"/>
      <c r="D79" s="17"/>
      <c r="E79" s="80"/>
    </row>
    <row r="80" spans="2:5" ht="30" customHeight="1" x14ac:dyDescent="0.3">
      <c r="B80" s="7" t="str">
        <f>IF(Tipo="OSFL","Índice de anejos numerado; copia digital en PDF con el nombre de la organización","Índice de anejos numerado; certificaciones con menos de seis meses donde aplique")</f>
        <v>Índice de anejos numerado; certificaciones con menos de seis meses donde aplique</v>
      </c>
      <c r="C80" s="30"/>
      <c r="D80" s="17"/>
      <c r="E80" s="80"/>
    </row>
    <row r="81" spans="2:5" ht="52.05" customHeight="1" x14ac:dyDescent="0.3">
      <c r="B81" s="146" t="s">
        <v>470</v>
      </c>
      <c r="C81" s="115"/>
      <c r="D81" s="115"/>
      <c r="E81" s="115"/>
    </row>
    <row r="82" spans="2:5" ht="25.95" customHeight="1" x14ac:dyDescent="0.3">
      <c r="B82" s="94" t="s">
        <v>471</v>
      </c>
      <c r="C82" s="91"/>
      <c r="D82" s="91"/>
      <c r="E82" s="91"/>
    </row>
    <row r="83" spans="2:5" ht="7.95" customHeight="1" x14ac:dyDescent="0.3"/>
    <row r="84" spans="2:5" ht="30" customHeight="1" x14ac:dyDescent="0.3">
      <c r="B84" s="87" t="s">
        <v>472</v>
      </c>
      <c r="C84" s="23" t="str">
        <f>COUNTIF(C86:C91,"Lo tengo")&amp;" de 6"</f>
        <v>0 de 6</v>
      </c>
      <c r="D84" s="88" t="s">
        <v>473</v>
      </c>
      <c r="E84" s="89" t="s">
        <v>469</v>
      </c>
    </row>
    <row r="85" spans="2:5" ht="16.05" customHeight="1" x14ac:dyDescent="0.3">
      <c r="B85" s="79" t="s">
        <v>445</v>
      </c>
      <c r="C85" s="25" t="s">
        <v>14</v>
      </c>
      <c r="D85" s="25" t="s">
        <v>446</v>
      </c>
      <c r="E85" s="25" t="s">
        <v>155</v>
      </c>
    </row>
    <row r="86" spans="2:5" ht="30" customHeight="1" x14ac:dyDescent="0.3">
      <c r="B86" s="7" t="str">
        <f>IF(Tipo="OSFL","Quiénes somos, nuestra misión y a quién servimos, en dos oraciones","Quiénes somos y qué vendemos, en dos oraciones")</f>
        <v>Quiénes somos y qué vendemos, en dos oraciones</v>
      </c>
      <c r="C86" s="30"/>
      <c r="D86" s="17"/>
      <c r="E86" s="80"/>
    </row>
    <row r="87" spans="2:5" ht="30" customHeight="1" x14ac:dyDescent="0.3">
      <c r="B87" s="7" t="str">
        <f>IF(Tipo="OSFL","La necesidad de la comunidad y nuestro programa","El problema del cliente y nuestra solución")</f>
        <v>El problema del cliente y nuestra solución</v>
      </c>
      <c r="C87" s="30"/>
      <c r="D87" s="17"/>
      <c r="E87" s="80"/>
    </row>
    <row r="88" spans="2:5" ht="30" customHeight="1" x14ac:dyDescent="0.3">
      <c r="B88" s="7" t="str">
        <f>IF(Tipo="OSFL","Por qué nosotros: resultados y alianzas que ya tenemos","Por qué nosotros: la ventaja que ya probamos")</f>
        <v>Por qué nosotros: la ventaja que ya probamos</v>
      </c>
      <c r="C88" s="30"/>
      <c r="D88" s="17"/>
      <c r="E88" s="80"/>
    </row>
    <row r="89" spans="2:5" ht="30" customHeight="1" x14ac:dyDescent="0.3">
      <c r="B89" s="7" t="str">
        <f>IF(Tipo="OSFL","Población servida: tamaño de la necesidad y resultados del piloto","Mercado: tamaño y prueba de validación (entrevistas, ventas del piloto)")</f>
        <v>Mercado: tamaño y prueba de validación (entrevistas, ventas del piloto)</v>
      </c>
      <c r="C89" s="30"/>
      <c r="D89" s="17"/>
      <c r="E89" s="80"/>
    </row>
    <row r="90" spans="2:5" ht="30" customHeight="1" x14ac:dyDescent="0.3">
      <c r="B90" s="7" t="str">
        <f>IF(Tipo="OSFL","Los números: presupuesto, costo por impacto y mezcla de fondos a 3 años","Los números: ventas, punto de equilibrio y ganancia esperada a 3 años")</f>
        <v>Los números: ventas, punto de equilibrio y ganancia esperada a 3 años</v>
      </c>
      <c r="C90" s="30"/>
      <c r="D90" s="17"/>
      <c r="E90" s="80"/>
    </row>
    <row r="91" spans="2:5" ht="30" customHeight="1" x14ac:dyDescent="0.3">
      <c r="B91" s="7" t="str">
        <f>IF(Tipo="OSFL","La solicitud: cuánto, para qué, qué impacto compra y cómo se sostiene después","La solicitud: cuánto, para qué y cómo se repaga")</f>
        <v>La solicitud: cuánto, para qué y cómo se repaga</v>
      </c>
      <c r="C91" s="30"/>
      <c r="D91" s="17"/>
      <c r="E91" s="80"/>
    </row>
    <row r="92" spans="2:5" ht="28.05" customHeight="1" x14ac:dyDescent="0.3">
      <c r="B92" s="146" t="s">
        <v>474</v>
      </c>
      <c r="C92" s="115"/>
      <c r="D92" s="115"/>
      <c r="E92" s="115"/>
    </row>
    <row r="93" spans="2:5" ht="28.05" customHeight="1" x14ac:dyDescent="0.3">
      <c r="B93" s="94" t="s">
        <v>475</v>
      </c>
      <c r="C93" s="91"/>
      <c r="D93" s="91"/>
      <c r="E93" s="91"/>
    </row>
    <row r="94" spans="2:5" ht="7.95" customHeight="1" x14ac:dyDescent="0.3"/>
    <row r="95" spans="2:5" ht="64.05" customHeight="1" x14ac:dyDescent="0.3">
      <c r="B95" s="94" t="s">
        <v>476</v>
      </c>
      <c r="C95" s="91"/>
      <c r="D95" s="91"/>
      <c r="E95" s="91"/>
    </row>
  </sheetData>
  <sheetProtection sheet="1" formatCells="0" formatColumns="0" formatRows="0"/>
  <mergeCells count="20">
    <mergeCell ref="B2:E2"/>
    <mergeCell ref="B60:E60"/>
    <mergeCell ref="D5:E5"/>
    <mergeCell ref="B38:E38"/>
    <mergeCell ref="B82:E82"/>
    <mergeCell ref="B37:E37"/>
    <mergeCell ref="B3:E3"/>
    <mergeCell ref="B59:E59"/>
    <mergeCell ref="B81:E81"/>
    <mergeCell ref="B93:E93"/>
    <mergeCell ref="B27:E27"/>
    <mergeCell ref="B71:E71"/>
    <mergeCell ref="B70:E70"/>
    <mergeCell ref="B48:E48"/>
    <mergeCell ref="B49:E49"/>
    <mergeCell ref="B92:E92"/>
    <mergeCell ref="B15:E15"/>
    <mergeCell ref="B95:E95"/>
    <mergeCell ref="B26:E26"/>
    <mergeCell ref="B16:E16"/>
  </mergeCells>
  <conditionalFormatting sqref="C8:C120">
    <cfRule type="cellIs" dxfId="2" priority="1" operator="equal">
      <formula>"Lo tengo"</formula>
    </cfRule>
    <cfRule type="cellIs" dxfId="1" priority="2" operator="equal">
      <formula>"En proceso"</formula>
    </cfRule>
    <cfRule type="cellIs" dxfId="0" priority="3" operator="equal">
      <formula>"Me falta"</formula>
    </cfRule>
  </conditionalFormatting>
  <dataValidations count="1">
    <dataValidation type="list" allowBlank="1" errorTitle="Opción no válida" error="Escoge una opción de la lista." sqref="C86:C91 C75:C80 C64:C69 C53:C58 C42:C47 C31:C36 C20:C25 C9:C14" xr:uid="{00000000-0002-0000-0C00-000000000000}">
      <formula1>"Lo tengo,En proceso,Me falta"</formula1>
    </dataValidation>
  </dataValidations>
  <pageMargins left="0.4" right="0.4" top="0.5" bottom="0.5" header="0.5" footer="0.5"/>
  <pageSetup fitToHeight="0" orientation="portrait"/>
  <headerFooter>
    <oddFooter>&amp;C&amp;8 Mi Plan de Negocio Preliminar · Asesores Financieros Comunitarios, Inc. · 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0 Inicio</vt:lpstr>
      <vt:lpstr>1 Mi Ficha</vt:lpstr>
      <vt:lpstr>2 Canvas</vt:lpstr>
      <vt:lpstr>3 Propuesta y Filtro</vt:lpstr>
      <vt:lpstr>4 Validación</vt:lpstr>
      <vt:lpstr>5 Realidad PR</vt:lpstr>
      <vt:lpstr>6 Números</vt:lpstr>
      <vt:lpstr>7 Flujo de Caja</vt:lpstr>
      <vt:lpstr>8 Mapa de Decisiones</vt:lpstr>
      <vt:lpstr>9 Plan 90 Días</vt:lpstr>
      <vt:lpstr>10 Plan en 1 Página</vt:lpstr>
      <vt:lpstr>11 Resumen Ejecutivo</vt:lpstr>
      <vt:lpstr>12 Guía del Plan Formal</vt:lpstr>
      <vt:lpstr>'0 Inicio'!Print_Area</vt:lpstr>
      <vt:lpstr>'10 Plan en 1 Página'!Print_Area</vt:lpstr>
      <vt:lpstr>'11 Resumen Ejecutivo'!Print_Area</vt:lpstr>
      <vt:lpstr>'12 Guía del Plan Formal'!Print_Area</vt:lpstr>
      <vt:lpstr>'2 Canvas'!Print_Area</vt:lpstr>
      <vt:lpstr>'3 Propuesta y Filtro'!Print_Area</vt:lpstr>
      <vt:lpstr>'4 Validación'!Print_Area</vt:lpstr>
      <vt:lpstr>'5 Realidad PR'!Print_Area</vt:lpstr>
      <vt:lpstr>'6 Números'!Print_Area</vt:lpstr>
      <vt:lpstr>'7 Flujo de Caja'!Print_Area</vt:lpstr>
      <vt:lpstr>'8 Mapa de Decisiones'!Print_Area</vt:lpstr>
      <vt:lpstr>'9 Plan 90 Días'!Print_Area</vt:lpstr>
      <vt:lpstr>Tipo</vt:lpstr>
    </vt:vector>
  </TitlesOfParts>
  <Company>Asesores Financieros Comunitarios,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 Plan de Negocio Preliminar: herramienta de planificación</dc:title>
  <dc:subject>Taller Planificación de Negocios para PyMES y OSFL</dc:subject>
  <dc:creator>Asesores Financieros Comunitarios, Inc.</dc:creator>
  <cp:lastModifiedBy>Agdimerces Rivera'Diaz</cp:lastModifiedBy>
  <dcterms:created xsi:type="dcterms:W3CDTF">2026-10-29T09:00:00Z</dcterms:created>
  <dcterms:modified xsi:type="dcterms:W3CDTF">2026-10-30T16:37:43Z</dcterms:modified>
</cp:coreProperties>
</file>